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charts/chart2.xml" ContentType="application/vnd.openxmlformats-officedocument.drawingml.chart+xml"/>
  <Override PartName="/xl/drawings/drawing6.xml" ContentType="application/vnd.openxmlformats-officedocument.drawing+xml"/>
  <Override PartName="/xl/activeX/activeX2.xml" ContentType="application/vnd.ms-office.activeX+xml"/>
  <Override PartName="/xl/activeX/activeX2.bin" ContentType="application/vnd.ms-office.activeX"/>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35" windowWidth="15600" windowHeight="10800" activeTab="12"/>
  </bookViews>
  <sheets>
    <sheet name="Hoja1" sheetId="1" r:id="rId1"/>
    <sheet name="Hoja2" sheetId="2"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 name="Hoja11" sheetId="11" r:id="rId11"/>
    <sheet name="Hoja12" sheetId="12" r:id="rId12"/>
    <sheet name="Hoja13" sheetId="13" r:id="rId13"/>
  </sheets>
  <calcPr calcId="145621"/>
</workbook>
</file>

<file path=xl/calcChain.xml><?xml version="1.0" encoding="utf-8"?>
<calcChain xmlns="http://schemas.openxmlformats.org/spreadsheetml/2006/main">
  <c r="I26" i="13" l="1"/>
  <c r="G24" i="1" s="1"/>
  <c r="H27" i="13"/>
  <c r="K34" i="13"/>
  <c r="J92" i="12"/>
  <c r="G90" i="12"/>
  <c r="K70" i="12"/>
  <c r="D8" i="1" l="1"/>
  <c r="F8" i="1"/>
  <c r="C16" i="1"/>
  <c r="F34" i="13" s="1"/>
  <c r="E16" i="1"/>
  <c r="G16" i="1"/>
  <c r="D24" i="1"/>
  <c r="F24" i="1"/>
  <c r="C8" i="1"/>
  <c r="E34" i="13" s="1"/>
  <c r="E8" i="1"/>
  <c r="G8" i="1"/>
  <c r="D16" i="1"/>
  <c r="F16" i="1"/>
  <c r="C24" i="1"/>
  <c r="G34" i="13" s="1"/>
  <c r="E24" i="1"/>
  <c r="I95" i="12"/>
  <c r="H95" i="12"/>
  <c r="J95" i="12"/>
  <c r="B127" i="1"/>
  <c r="B118" i="1"/>
  <c r="B117" i="1"/>
  <c r="B110" i="1"/>
  <c r="B102" i="1"/>
  <c r="B86" i="1"/>
  <c r="D77" i="1"/>
  <c r="B88" i="1" s="1"/>
  <c r="D60" i="1"/>
  <c r="D61" i="1"/>
  <c r="D62" i="1"/>
  <c r="D63" i="1"/>
  <c r="D64" i="1"/>
  <c r="D65" i="1"/>
  <c r="D66" i="1"/>
  <c r="D67" i="1"/>
  <c r="D68" i="1"/>
  <c r="D69" i="1"/>
  <c r="D70" i="1"/>
  <c r="D71" i="1"/>
  <c r="D72" i="1"/>
  <c r="D73" i="1"/>
  <c r="D74" i="1"/>
  <c r="D75" i="1"/>
  <c r="D76" i="1"/>
  <c r="D59" i="1"/>
  <c r="D54" i="1"/>
  <c r="D33" i="1"/>
  <c r="D34" i="1"/>
  <c r="D35" i="1"/>
  <c r="D36" i="1"/>
  <c r="D37" i="1"/>
  <c r="D38" i="1"/>
  <c r="D39" i="1"/>
  <c r="D40" i="1"/>
  <c r="D41" i="1"/>
  <c r="D42" i="1"/>
  <c r="D43" i="1"/>
  <c r="D44" i="1"/>
  <c r="D45" i="1"/>
  <c r="D46" i="1"/>
  <c r="D47" i="1"/>
  <c r="D48" i="1"/>
  <c r="D49" i="1"/>
  <c r="D50" i="1"/>
  <c r="D51" i="1"/>
  <c r="D52" i="1"/>
  <c r="D53" i="1"/>
  <c r="D32" i="1"/>
  <c r="B29" i="12" l="1"/>
  <c r="H18" i="12"/>
  <c r="H17" i="12"/>
  <c r="H15" i="12"/>
  <c r="B8" i="12"/>
  <c r="C16" i="10"/>
  <c r="D16" i="10"/>
  <c r="E16" i="10"/>
  <c r="F16" i="10"/>
  <c r="B16" i="10"/>
  <c r="C14" i="10"/>
  <c r="D14" i="10"/>
  <c r="E14" i="10"/>
  <c r="F14" i="10"/>
  <c r="B14" i="10"/>
  <c r="B32" i="8"/>
  <c r="B21" i="8"/>
  <c r="B20" i="8"/>
  <c r="H8" i="7" l="1"/>
  <c r="B20" i="5"/>
  <c r="B13" i="4"/>
  <c r="B11" i="4"/>
  <c r="E120" i="3"/>
  <c r="G120" i="3"/>
  <c r="D120" i="3"/>
  <c r="C88" i="3"/>
  <c r="C89" i="3" s="1"/>
  <c r="D103" i="3" s="1"/>
  <c r="D88" i="3"/>
  <c r="D89" i="3" s="1"/>
  <c r="E103" i="3" s="1"/>
  <c r="F120" i="3" s="1"/>
  <c r="E88" i="3"/>
  <c r="E89" i="3" s="1"/>
  <c r="F103" i="3" s="1"/>
  <c r="F88" i="3"/>
  <c r="F89" i="3" s="1"/>
  <c r="G103" i="3" s="1"/>
  <c r="H120" i="3" s="1"/>
  <c r="B88" i="3"/>
  <c r="B89" i="3" s="1"/>
  <c r="C103" i="3" s="1"/>
  <c r="F64" i="3"/>
  <c r="I64" i="3" s="1"/>
  <c r="D64" i="3"/>
  <c r="F63" i="3"/>
  <c r="G63" i="3" s="1"/>
  <c r="D63" i="3"/>
  <c r="F62" i="3"/>
  <c r="I62" i="3" s="1"/>
  <c r="D62" i="3"/>
  <c r="D60" i="3"/>
  <c r="F58" i="3"/>
  <c r="G58" i="3" s="1"/>
  <c r="D58" i="3"/>
  <c r="F57" i="3"/>
  <c r="I57" i="3" s="1"/>
  <c r="D57" i="3"/>
  <c r="F56" i="3"/>
  <c r="G56" i="3" s="1"/>
  <c r="D56" i="3"/>
  <c r="F54" i="3"/>
  <c r="I54" i="3" s="1"/>
  <c r="D54" i="3"/>
  <c r="F53" i="3"/>
  <c r="I53" i="3" s="1"/>
  <c r="J53" i="3" s="1"/>
  <c r="D53" i="3"/>
  <c r="F52" i="3"/>
  <c r="I52" i="3" s="1"/>
  <c r="L52" i="3" s="1"/>
  <c r="D52" i="3"/>
  <c r="F51" i="3"/>
  <c r="G51" i="3" s="1"/>
  <c r="D51" i="3"/>
  <c r="D44" i="3"/>
  <c r="D43" i="3"/>
  <c r="D42" i="3"/>
  <c r="C79" i="3"/>
  <c r="D79" i="3"/>
  <c r="E79" i="3"/>
  <c r="F79" i="3"/>
  <c r="B79" i="3"/>
  <c r="C77" i="3"/>
  <c r="D77" i="3"/>
  <c r="E77" i="3"/>
  <c r="F77" i="3"/>
  <c r="C76" i="3"/>
  <c r="D76" i="3"/>
  <c r="E76" i="3"/>
  <c r="F76" i="3"/>
  <c r="B76" i="3"/>
  <c r="C74" i="3"/>
  <c r="D74" i="3"/>
  <c r="E74" i="3"/>
  <c r="F74" i="3"/>
  <c r="B74" i="3"/>
  <c r="C73" i="3"/>
  <c r="D73" i="3"/>
  <c r="E73" i="3"/>
  <c r="F73" i="3"/>
  <c r="D28" i="3"/>
  <c r="D27" i="3"/>
  <c r="L22" i="3"/>
  <c r="K22" i="3"/>
  <c r="J22" i="3"/>
  <c r="I22" i="3"/>
  <c r="H22" i="3"/>
  <c r="D22" i="3"/>
  <c r="D16" i="3"/>
  <c r="D15" i="3"/>
  <c r="D14" i="3"/>
  <c r="D13" i="3"/>
  <c r="D12" i="3"/>
  <c r="D11" i="3"/>
  <c r="L5" i="3"/>
  <c r="L4" i="3"/>
  <c r="K5" i="3"/>
  <c r="K4" i="3"/>
  <c r="J5" i="3"/>
  <c r="J4" i="3"/>
  <c r="I5" i="3"/>
  <c r="I4" i="3"/>
  <c r="H5" i="3"/>
  <c r="H4" i="3"/>
  <c r="C6" i="3"/>
  <c r="B6" i="3"/>
  <c r="D5" i="3"/>
  <c r="D4" i="3"/>
  <c r="B77" i="3"/>
  <c r="B73" i="3"/>
  <c r="D98" i="3"/>
  <c r="E98" i="3"/>
  <c r="F98" i="3"/>
  <c r="G98" i="3"/>
  <c r="C98" i="3"/>
  <c r="D97" i="3"/>
  <c r="E97" i="3"/>
  <c r="F97" i="3"/>
  <c r="G97" i="3"/>
  <c r="C97" i="3"/>
  <c r="D43" i="2"/>
  <c r="E43" i="2"/>
  <c r="F43" i="2"/>
  <c r="G43" i="2"/>
  <c r="C43" i="2"/>
  <c r="C30" i="2"/>
  <c r="C33" i="2" s="1"/>
  <c r="D30" i="2"/>
  <c r="D33" i="2" s="1"/>
  <c r="E30" i="2"/>
  <c r="E33" i="2" s="1"/>
  <c r="F30" i="2"/>
  <c r="F33" i="2" s="1"/>
  <c r="B30" i="2"/>
  <c r="B33" i="2" s="1"/>
  <c r="C32" i="2"/>
  <c r="D32" i="2"/>
  <c r="E32" i="2"/>
  <c r="F32" i="2"/>
  <c r="B32" i="2"/>
  <c r="D14" i="2"/>
  <c r="D13" i="2"/>
  <c r="D12" i="2"/>
  <c r="D11" i="2"/>
  <c r="L5" i="2"/>
  <c r="L4" i="2"/>
  <c r="K5" i="2"/>
  <c r="K4" i="2"/>
  <c r="J5" i="2"/>
  <c r="J4" i="2"/>
  <c r="I5" i="2"/>
  <c r="I4" i="2"/>
  <c r="H5" i="2"/>
  <c r="H4" i="2"/>
  <c r="C6" i="2"/>
  <c r="B6" i="2"/>
  <c r="D5" i="2"/>
  <c r="G5" i="2" s="1"/>
  <c r="D4" i="2"/>
  <c r="D27" i="1"/>
  <c r="E27" i="1"/>
  <c r="F27" i="1"/>
  <c r="G27" i="1"/>
  <c r="C27" i="1"/>
  <c r="H191" i="1"/>
  <c r="I191" i="1" s="1"/>
  <c r="F191" i="1"/>
  <c r="H190" i="1"/>
  <c r="K190" i="1" s="1"/>
  <c r="N190" i="1" s="1"/>
  <c r="Q190" i="1" s="1"/>
  <c r="R190" i="1" s="1"/>
  <c r="F190" i="1"/>
  <c r="H189" i="1"/>
  <c r="I189" i="1" s="1"/>
  <c r="F189" i="1"/>
  <c r="H188" i="1"/>
  <c r="K188" i="1" s="1"/>
  <c r="N188" i="1" s="1"/>
  <c r="Q188" i="1" s="1"/>
  <c r="R188" i="1" s="1"/>
  <c r="F188" i="1"/>
  <c r="H187" i="1"/>
  <c r="I187" i="1" s="1"/>
  <c r="F187" i="1"/>
  <c r="H186" i="1"/>
  <c r="K186" i="1" s="1"/>
  <c r="N186" i="1" s="1"/>
  <c r="Q186" i="1" s="1"/>
  <c r="R186" i="1" s="1"/>
  <c r="F186" i="1"/>
  <c r="H185" i="1"/>
  <c r="I185" i="1" s="1"/>
  <c r="F185" i="1"/>
  <c r="H184" i="1"/>
  <c r="K184" i="1" s="1"/>
  <c r="N184" i="1" s="1"/>
  <c r="Q184" i="1" s="1"/>
  <c r="R184" i="1" s="1"/>
  <c r="F184" i="1"/>
  <c r="H180" i="1"/>
  <c r="I180" i="1" s="1"/>
  <c r="F180" i="1"/>
  <c r="H179" i="1"/>
  <c r="K179" i="1" s="1"/>
  <c r="N179" i="1" s="1"/>
  <c r="Q179" i="1" s="1"/>
  <c r="R179" i="1" s="1"/>
  <c r="F179" i="1"/>
  <c r="H178" i="1"/>
  <c r="I178" i="1" s="1"/>
  <c r="F178" i="1"/>
  <c r="H177" i="1"/>
  <c r="K177" i="1" s="1"/>
  <c r="N177" i="1" s="1"/>
  <c r="Q177" i="1" s="1"/>
  <c r="R177" i="1" s="1"/>
  <c r="F177" i="1"/>
  <c r="H176" i="1"/>
  <c r="I176" i="1" s="1"/>
  <c r="F176" i="1"/>
  <c r="H175" i="1"/>
  <c r="K175" i="1" s="1"/>
  <c r="N175" i="1" s="1"/>
  <c r="Q175" i="1" s="1"/>
  <c r="R175" i="1" s="1"/>
  <c r="F175" i="1"/>
  <c r="H172" i="1"/>
  <c r="K172" i="1" s="1"/>
  <c r="N172" i="1" s="1"/>
  <c r="Q172" i="1" s="1"/>
  <c r="R172" i="1" s="1"/>
  <c r="F172" i="1"/>
  <c r="H171" i="1"/>
  <c r="I171" i="1" s="1"/>
  <c r="F171" i="1"/>
  <c r="H170" i="1"/>
  <c r="K170" i="1" s="1"/>
  <c r="N170" i="1" s="1"/>
  <c r="Q170" i="1" s="1"/>
  <c r="R170" i="1" s="1"/>
  <c r="F170" i="1"/>
  <c r="H169" i="1"/>
  <c r="I169" i="1" s="1"/>
  <c r="F169" i="1"/>
  <c r="H168" i="1"/>
  <c r="K168" i="1" s="1"/>
  <c r="N168" i="1" s="1"/>
  <c r="Q168" i="1" s="1"/>
  <c r="R168" i="1" s="1"/>
  <c r="F168" i="1"/>
  <c r="H167" i="1"/>
  <c r="I167" i="1" s="1"/>
  <c r="F167" i="1"/>
  <c r="H164" i="1"/>
  <c r="K164" i="1" s="1"/>
  <c r="F164" i="1"/>
  <c r="H163" i="1"/>
  <c r="F163" i="1"/>
  <c r="H162" i="1"/>
  <c r="K162" i="1" s="1"/>
  <c r="F162" i="1"/>
  <c r="H161" i="1"/>
  <c r="F161" i="1"/>
  <c r="I160" i="1"/>
  <c r="H160" i="1"/>
  <c r="K160" i="1" s="1"/>
  <c r="F160" i="1"/>
  <c r="H159" i="1"/>
  <c r="F159" i="1"/>
  <c r="H158" i="1"/>
  <c r="K158" i="1" s="1"/>
  <c r="F158" i="1"/>
  <c r="D145" i="1"/>
  <c r="B15" i="4"/>
  <c r="E87" i="1"/>
  <c r="E88" i="1"/>
  <c r="C21" i="8" s="1"/>
  <c r="E86" i="1"/>
  <c r="F88" i="1"/>
  <c r="G88" i="1"/>
  <c r="H88" i="1"/>
  <c r="I88" i="1"/>
  <c r="G86" i="1"/>
  <c r="H86" i="1"/>
  <c r="I86" i="1"/>
  <c r="F86" i="1"/>
  <c r="D22" i="1"/>
  <c r="F83" i="1" s="1"/>
  <c r="E22" i="1"/>
  <c r="G83" i="1" s="1"/>
  <c r="E5" i="5" s="1"/>
  <c r="F22" i="1"/>
  <c r="H83" i="1" s="1"/>
  <c r="G22" i="1"/>
  <c r="I83" i="1" s="1"/>
  <c r="G5" i="5" s="1"/>
  <c r="C22" i="1"/>
  <c r="E83" i="1" s="1"/>
  <c r="G25" i="1"/>
  <c r="F25" i="1"/>
  <c r="E25" i="1"/>
  <c r="D25" i="1"/>
  <c r="C25" i="1"/>
  <c r="D17" i="1"/>
  <c r="E17" i="1"/>
  <c r="F17" i="1"/>
  <c r="G17" i="1"/>
  <c r="C17" i="1"/>
  <c r="D14" i="1"/>
  <c r="E14" i="1"/>
  <c r="F14" i="1"/>
  <c r="G14" i="1"/>
  <c r="C14" i="1"/>
  <c r="D6" i="1"/>
  <c r="D21" i="2" s="1"/>
  <c r="D40" i="2" s="1"/>
  <c r="E6" i="1"/>
  <c r="E21" i="2" s="1"/>
  <c r="E40" i="2" s="1"/>
  <c r="F6" i="1"/>
  <c r="F21" i="2" s="1"/>
  <c r="F40" i="2" s="1"/>
  <c r="G6" i="1"/>
  <c r="G21" i="2" s="1"/>
  <c r="G40" i="2" s="1"/>
  <c r="C6" i="1"/>
  <c r="C21" i="2" s="1"/>
  <c r="C40" i="2" s="1"/>
  <c r="D9" i="1"/>
  <c r="E9" i="1"/>
  <c r="F9" i="1"/>
  <c r="G9" i="1"/>
  <c r="C9" i="1"/>
  <c r="F126" i="1" l="1"/>
  <c r="D200" i="1" s="1"/>
  <c r="D95" i="3" s="1"/>
  <c r="D6" i="12"/>
  <c r="I161" i="1"/>
  <c r="K161" i="1"/>
  <c r="G22" i="2"/>
  <c r="G41" i="2" s="1"/>
  <c r="G42" i="2" s="1"/>
  <c r="F4" i="10"/>
  <c r="E22" i="2"/>
  <c r="E41" i="2" s="1"/>
  <c r="E42" i="2" s="1"/>
  <c r="D4" i="10"/>
  <c r="G5" i="6"/>
  <c r="G24" i="6" s="1"/>
  <c r="E5" i="6"/>
  <c r="E24" i="6" s="1"/>
  <c r="E126" i="1"/>
  <c r="C200" i="1" s="1"/>
  <c r="C95" i="3" s="1"/>
  <c r="C6" i="12"/>
  <c r="H126" i="1"/>
  <c r="F200" i="1" s="1"/>
  <c r="F95" i="3" s="1"/>
  <c r="F6" i="12"/>
  <c r="G127" i="1"/>
  <c r="B26" i="8"/>
  <c r="I163" i="1"/>
  <c r="K163" i="1"/>
  <c r="C28" i="1"/>
  <c r="F28" i="1"/>
  <c r="D28" i="1"/>
  <c r="I126" i="1"/>
  <c r="G200" i="1" s="1"/>
  <c r="G95" i="3" s="1"/>
  <c r="G6" i="12"/>
  <c r="G126" i="1"/>
  <c r="E200" i="1" s="1"/>
  <c r="E95" i="3" s="1"/>
  <c r="E6" i="12"/>
  <c r="E91" i="1"/>
  <c r="C20" i="8"/>
  <c r="I159" i="1"/>
  <c r="K159" i="1"/>
  <c r="C201" i="1"/>
  <c r="B4" i="10"/>
  <c r="F201" i="1"/>
  <c r="E4" i="10"/>
  <c r="D201" i="1"/>
  <c r="C4" i="10"/>
  <c r="C5" i="5"/>
  <c r="F5" i="5"/>
  <c r="D5" i="5"/>
  <c r="C5" i="6"/>
  <c r="C24" i="6" s="1"/>
  <c r="F5" i="6"/>
  <c r="F24" i="6" s="1"/>
  <c r="D5" i="6"/>
  <c r="D24" i="6" s="1"/>
  <c r="D116" i="3"/>
  <c r="B9" i="10"/>
  <c r="G116" i="3"/>
  <c r="E9" i="10"/>
  <c r="E116" i="3"/>
  <c r="C9" i="10"/>
  <c r="H117" i="3"/>
  <c r="F10" i="10"/>
  <c r="F117" i="3"/>
  <c r="D10" i="10"/>
  <c r="H116" i="3"/>
  <c r="F9" i="10"/>
  <c r="F116" i="3"/>
  <c r="D9" i="10"/>
  <c r="D117" i="3"/>
  <c r="B10" i="10"/>
  <c r="G117" i="3"/>
  <c r="E10" i="10"/>
  <c r="E117" i="3"/>
  <c r="C10" i="10"/>
  <c r="G57" i="3"/>
  <c r="G62" i="3"/>
  <c r="D45" i="3"/>
  <c r="D65" i="3"/>
  <c r="B85" i="3" s="1"/>
  <c r="G54" i="3"/>
  <c r="G64" i="3"/>
  <c r="M52" i="3"/>
  <c r="O52" i="3"/>
  <c r="P52" i="3" s="1"/>
  <c r="L57" i="3"/>
  <c r="J57" i="3"/>
  <c r="L64" i="3"/>
  <c r="J64" i="3"/>
  <c r="L54" i="3"/>
  <c r="J54" i="3"/>
  <c r="L62" i="3"/>
  <c r="J62" i="3"/>
  <c r="L53" i="3"/>
  <c r="I56" i="3"/>
  <c r="I58" i="3"/>
  <c r="I63" i="3"/>
  <c r="K6" i="3"/>
  <c r="E5" i="3"/>
  <c r="D6" i="3"/>
  <c r="E4" i="3"/>
  <c r="L6" i="3"/>
  <c r="D17" i="3"/>
  <c r="D29" i="3"/>
  <c r="E22" i="3"/>
  <c r="F22" i="3" s="1"/>
  <c r="G22" i="3"/>
  <c r="J6" i="3"/>
  <c r="I6" i="3"/>
  <c r="H6" i="3"/>
  <c r="E6" i="3"/>
  <c r="F192" i="1"/>
  <c r="I184" i="1"/>
  <c r="I172" i="1"/>
  <c r="G28" i="1"/>
  <c r="E28" i="1"/>
  <c r="I168" i="1"/>
  <c r="K178" i="1"/>
  <c r="L178" i="1" s="1"/>
  <c r="I188" i="1"/>
  <c r="G201" i="1"/>
  <c r="E201" i="1"/>
  <c r="C22" i="2"/>
  <c r="C41" i="2" s="1"/>
  <c r="C42" i="2" s="1"/>
  <c r="F22" i="2"/>
  <c r="F41" i="2" s="1"/>
  <c r="F42" i="2" s="1"/>
  <c r="D22" i="2"/>
  <c r="D41" i="2" s="1"/>
  <c r="D42" i="2" s="1"/>
  <c r="I164" i="1"/>
  <c r="D15" i="2"/>
  <c r="D6" i="2"/>
  <c r="E4" i="2"/>
  <c r="F4" i="2" s="1"/>
  <c r="G4" i="2"/>
  <c r="E5" i="2"/>
  <c r="F5" i="2" s="1"/>
  <c r="L6" i="2"/>
  <c r="K6" i="2"/>
  <c r="J6" i="2"/>
  <c r="I6" i="2"/>
  <c r="H6" i="2"/>
  <c r="F6" i="2"/>
  <c r="I177" i="1"/>
  <c r="E127" i="1"/>
  <c r="H127" i="1"/>
  <c r="F127" i="1"/>
  <c r="O170" i="1"/>
  <c r="F181" i="1"/>
  <c r="O186" i="1"/>
  <c r="O190" i="1"/>
  <c r="I127" i="1"/>
  <c r="F165" i="1"/>
  <c r="I158" i="1"/>
  <c r="I162" i="1"/>
  <c r="F173" i="1"/>
  <c r="K167" i="1"/>
  <c r="L167" i="1" s="1"/>
  <c r="I170" i="1"/>
  <c r="I173" i="1" s="1"/>
  <c r="K171" i="1"/>
  <c r="L171" i="1" s="1"/>
  <c r="I175" i="1"/>
  <c r="O177" i="1"/>
  <c r="I179" i="1"/>
  <c r="I186" i="1"/>
  <c r="K187" i="1"/>
  <c r="L187" i="1" s="1"/>
  <c r="I190" i="1"/>
  <c r="K191" i="1"/>
  <c r="L191" i="1" s="1"/>
  <c r="N158" i="1"/>
  <c r="L158" i="1"/>
  <c r="N162" i="1"/>
  <c r="L162" i="1"/>
  <c r="N160" i="1"/>
  <c r="L160" i="1"/>
  <c r="N164" i="1"/>
  <c r="L164" i="1"/>
  <c r="L168" i="1"/>
  <c r="L172" i="1"/>
  <c r="L175" i="1"/>
  <c r="L179" i="1"/>
  <c r="L184" i="1"/>
  <c r="L188" i="1"/>
  <c r="O168" i="1"/>
  <c r="K169" i="1"/>
  <c r="L170" i="1"/>
  <c r="O172" i="1"/>
  <c r="O175" i="1"/>
  <c r="K176" i="1"/>
  <c r="L177" i="1"/>
  <c r="N178" i="1"/>
  <c r="O179" i="1"/>
  <c r="K180" i="1"/>
  <c r="O184" i="1"/>
  <c r="K185" i="1"/>
  <c r="L186" i="1"/>
  <c r="O188" i="1"/>
  <c r="K189" i="1"/>
  <c r="L190" i="1"/>
  <c r="J86" i="1"/>
  <c r="J88" i="1"/>
  <c r="E29" i="12"/>
  <c r="H16" i="12"/>
  <c r="H14" i="12"/>
  <c r="H19" i="12" s="1"/>
  <c r="B12" i="12"/>
  <c r="D35" i="7" l="1"/>
  <c r="D104" i="3"/>
  <c r="C17" i="10" s="1"/>
  <c r="C35" i="7"/>
  <c r="C104" i="3"/>
  <c r="B17" i="10" s="1"/>
  <c r="E9" i="12"/>
  <c r="D6" i="10"/>
  <c r="E9" i="7"/>
  <c r="E6" i="6"/>
  <c r="E25" i="6" s="1"/>
  <c r="B35" i="3"/>
  <c r="D83" i="3" s="1"/>
  <c r="C34" i="7"/>
  <c r="C99" i="3"/>
  <c r="B18" i="10" s="1"/>
  <c r="F9" i="12"/>
  <c r="F12" i="12" s="1"/>
  <c r="E6" i="10"/>
  <c r="F9" i="7"/>
  <c r="F6" i="6"/>
  <c r="F25" i="6" s="1"/>
  <c r="B36" i="3"/>
  <c r="E83" i="3" s="1"/>
  <c r="C26" i="8"/>
  <c r="D26" i="8" s="1"/>
  <c r="E26" i="8" s="1"/>
  <c r="F26" i="8" s="1"/>
  <c r="G26" i="8" s="1"/>
  <c r="G35" i="7"/>
  <c r="G104" i="3"/>
  <c r="F17" i="10" s="1"/>
  <c r="F35" i="7"/>
  <c r="F104" i="3"/>
  <c r="E17" i="10" s="1"/>
  <c r="G9" i="12"/>
  <c r="F6" i="10"/>
  <c r="G9" i="7"/>
  <c r="G6" i="6"/>
  <c r="G25" i="6" s="1"/>
  <c r="B37" i="3"/>
  <c r="F83" i="3" s="1"/>
  <c r="D9" i="12"/>
  <c r="C6" i="10"/>
  <c r="D9" i="7"/>
  <c r="D6" i="6"/>
  <c r="D25" i="6" s="1"/>
  <c r="B34" i="3"/>
  <c r="C83" i="3" s="1"/>
  <c r="C9" i="12"/>
  <c r="C12" i="12" s="1"/>
  <c r="B6" i="10"/>
  <c r="B5" i="10" s="1"/>
  <c r="B33" i="3"/>
  <c r="B83" i="3" s="1"/>
  <c r="C9" i="7"/>
  <c r="C6" i="6"/>
  <c r="C25" i="6" s="1"/>
  <c r="E35" i="7"/>
  <c r="E104" i="3"/>
  <c r="D17" i="10" s="1"/>
  <c r="D84" i="3"/>
  <c r="F84" i="3"/>
  <c r="C84" i="3"/>
  <c r="E84" i="3"/>
  <c r="B84" i="3"/>
  <c r="G65" i="3"/>
  <c r="C85" i="3" s="1"/>
  <c r="J58" i="3"/>
  <c r="L58" i="3"/>
  <c r="M53" i="3"/>
  <c r="O53" i="3"/>
  <c r="P53" i="3" s="1"/>
  <c r="O62" i="3"/>
  <c r="P62" i="3" s="1"/>
  <c r="M62" i="3"/>
  <c r="O54" i="3"/>
  <c r="P54" i="3" s="1"/>
  <c r="M54" i="3"/>
  <c r="J63" i="3"/>
  <c r="L63" i="3"/>
  <c r="J56" i="3"/>
  <c r="J65" i="3" s="1"/>
  <c r="D85" i="3" s="1"/>
  <c r="L56" i="3"/>
  <c r="O64" i="3"/>
  <c r="P64" i="3" s="1"/>
  <c r="M64" i="3"/>
  <c r="O57" i="3"/>
  <c r="P57" i="3" s="1"/>
  <c r="M57" i="3"/>
  <c r="C72" i="3"/>
  <c r="E72" i="3"/>
  <c r="B72" i="3"/>
  <c r="D72" i="3"/>
  <c r="F72" i="3"/>
  <c r="G4" i="3"/>
  <c r="F4" i="3"/>
  <c r="G5" i="3"/>
  <c r="F5" i="3"/>
  <c r="M5" i="3" s="1"/>
  <c r="N5" i="3" s="1"/>
  <c r="M22" i="3"/>
  <c r="N22" i="3" s="1"/>
  <c r="N191" i="1"/>
  <c r="Q191" i="1" s="1"/>
  <c r="R191" i="1" s="1"/>
  <c r="N187" i="1"/>
  <c r="I192" i="1"/>
  <c r="I181" i="1"/>
  <c r="F182" i="1"/>
  <c r="F193" i="1" s="1"/>
  <c r="C203" i="1" s="1"/>
  <c r="M4" i="2"/>
  <c r="N4" i="2" s="1"/>
  <c r="G6" i="2"/>
  <c r="B48" i="10"/>
  <c r="M5" i="2"/>
  <c r="N5" i="2" s="1"/>
  <c r="E6" i="2"/>
  <c r="I5" i="11"/>
  <c r="I165" i="1"/>
  <c r="J91" i="1"/>
  <c r="I182" i="1"/>
  <c r="N171" i="1"/>
  <c r="Q171" i="1" s="1"/>
  <c r="R171" i="1" s="1"/>
  <c r="N167" i="1"/>
  <c r="O191" i="1"/>
  <c r="L189" i="1"/>
  <c r="N189" i="1"/>
  <c r="O187" i="1"/>
  <c r="Q187" i="1"/>
  <c r="R187" i="1" s="1"/>
  <c r="L185" i="1"/>
  <c r="L192" i="1" s="1"/>
  <c r="N185" i="1"/>
  <c r="L161" i="1"/>
  <c r="N161" i="1"/>
  <c r="L180" i="1"/>
  <c r="N180" i="1"/>
  <c r="O178" i="1"/>
  <c r="Q178" i="1"/>
  <c r="R178" i="1" s="1"/>
  <c r="L176" i="1"/>
  <c r="L181" i="1" s="1"/>
  <c r="N176" i="1"/>
  <c r="O171" i="1"/>
  <c r="L169" i="1"/>
  <c r="L173" i="1" s="1"/>
  <c r="N169" i="1"/>
  <c r="O167" i="1"/>
  <c r="Q167" i="1"/>
  <c r="R167" i="1" s="1"/>
  <c r="L163" i="1"/>
  <c r="N163" i="1"/>
  <c r="L159" i="1"/>
  <c r="N159" i="1"/>
  <c r="Q164" i="1"/>
  <c r="R164" i="1" s="1"/>
  <c r="O164" i="1"/>
  <c r="Q160" i="1"/>
  <c r="R160" i="1" s="1"/>
  <c r="O160" i="1"/>
  <c r="Q162" i="1"/>
  <c r="R162" i="1" s="1"/>
  <c r="O162" i="1"/>
  <c r="Q158" i="1"/>
  <c r="R158" i="1" s="1"/>
  <c r="O158" i="1"/>
  <c r="B33" i="8"/>
  <c r="C27" i="8"/>
  <c r="B27" i="8"/>
  <c r="B24" i="8"/>
  <c r="H19" i="7"/>
  <c r="G12" i="12"/>
  <c r="C5" i="10" l="1"/>
  <c r="D30" i="10"/>
  <c r="E30" i="10" s="1"/>
  <c r="D5" i="10"/>
  <c r="F30" i="10"/>
  <c r="G30" i="10" s="1"/>
  <c r="C202" i="1"/>
  <c r="C96" i="3"/>
  <c r="F5" i="10"/>
  <c r="J30" i="10"/>
  <c r="K30" i="10" s="1"/>
  <c r="E5" i="10"/>
  <c r="H30" i="10"/>
  <c r="I30" i="10" s="1"/>
  <c r="M56" i="3"/>
  <c r="O56" i="3"/>
  <c r="P56" i="3" s="1"/>
  <c r="M63" i="3"/>
  <c r="O63" i="3"/>
  <c r="P63" i="3" s="1"/>
  <c r="M58" i="3"/>
  <c r="O58" i="3"/>
  <c r="P58" i="3" s="1"/>
  <c r="D82" i="3"/>
  <c r="D86" i="3" s="1"/>
  <c r="E102" i="3" s="1"/>
  <c r="D15" i="10" s="1"/>
  <c r="F82" i="3"/>
  <c r="C82" i="3"/>
  <c r="C86" i="3" s="1"/>
  <c r="D102" i="3" s="1"/>
  <c r="C15" i="10" s="1"/>
  <c r="E82" i="3"/>
  <c r="B82" i="3"/>
  <c r="B86" i="3" s="1"/>
  <c r="C102" i="3" s="1"/>
  <c r="M4" i="3"/>
  <c r="N4" i="3" s="1"/>
  <c r="N6" i="3" s="1"/>
  <c r="F6" i="3"/>
  <c r="G6" i="3"/>
  <c r="I193" i="1"/>
  <c r="D203" i="1" s="1"/>
  <c r="M6" i="2"/>
  <c r="N6" i="2"/>
  <c r="L165" i="1"/>
  <c r="L182" i="1" s="1"/>
  <c r="L193" i="1" s="1"/>
  <c r="E203" i="1" s="1"/>
  <c r="E96" i="3" s="1"/>
  <c r="D8" i="10" s="1"/>
  <c r="O159" i="1"/>
  <c r="Q159" i="1"/>
  <c r="R159" i="1" s="1"/>
  <c r="O163" i="1"/>
  <c r="Q163" i="1"/>
  <c r="R163" i="1" s="1"/>
  <c r="O169" i="1"/>
  <c r="O173" i="1" s="1"/>
  <c r="Q169" i="1"/>
  <c r="R169" i="1" s="1"/>
  <c r="R173" i="1" s="1"/>
  <c r="O176" i="1"/>
  <c r="Q176" i="1"/>
  <c r="R176" i="1" s="1"/>
  <c r="O180" i="1"/>
  <c r="Q180" i="1"/>
  <c r="R180" i="1" s="1"/>
  <c r="O161" i="1"/>
  <c r="O165" i="1" s="1"/>
  <c r="Q161" i="1"/>
  <c r="R161" i="1" s="1"/>
  <c r="R165" i="1" s="1"/>
  <c r="O185" i="1"/>
  <c r="Q185" i="1"/>
  <c r="R185" i="1" s="1"/>
  <c r="O189" i="1"/>
  <c r="Q189" i="1"/>
  <c r="R189" i="1" s="1"/>
  <c r="C24" i="8"/>
  <c r="B8" i="5"/>
  <c r="C14" i="4"/>
  <c r="D14" i="4"/>
  <c r="E14" i="4"/>
  <c r="F14" i="4"/>
  <c r="G14" i="4"/>
  <c r="B14" i="4"/>
  <c r="B17" i="4" s="1"/>
  <c r="F146" i="1"/>
  <c r="B141" i="1"/>
  <c r="D20" i="8"/>
  <c r="D21" i="8"/>
  <c r="D138" i="3" l="1"/>
  <c r="D115" i="3"/>
  <c r="D131" i="3"/>
  <c r="C10" i="8" s="1"/>
  <c r="B8" i="10"/>
  <c r="C100" i="3"/>
  <c r="D202" i="1"/>
  <c r="D96" i="3"/>
  <c r="D119" i="3"/>
  <c r="B15" i="10"/>
  <c r="F131" i="3"/>
  <c r="E10" i="8" s="1"/>
  <c r="F115" i="3"/>
  <c r="F138" i="3"/>
  <c r="B14" i="12"/>
  <c r="B19" i="12" s="1"/>
  <c r="B20" i="12" s="1"/>
  <c r="B18" i="5"/>
  <c r="B7" i="5"/>
  <c r="B10" i="5" s="1"/>
  <c r="B13" i="7" s="1"/>
  <c r="E119" i="3"/>
  <c r="F119" i="3"/>
  <c r="P65" i="3"/>
  <c r="F85" i="3" s="1"/>
  <c r="M65" i="3"/>
  <c r="E85" i="3" s="1"/>
  <c r="M6" i="3"/>
  <c r="D71" i="3"/>
  <c r="D80" i="3" s="1"/>
  <c r="E101" i="3" s="1"/>
  <c r="F118" i="3" s="1"/>
  <c r="F71" i="3"/>
  <c r="F80" i="3" s="1"/>
  <c r="G101" i="3" s="1"/>
  <c r="H118" i="3" s="1"/>
  <c r="C71" i="3"/>
  <c r="C80" i="3" s="1"/>
  <c r="D101" i="3" s="1"/>
  <c r="E118" i="3" s="1"/>
  <c r="E71" i="3"/>
  <c r="E80" i="3" s="1"/>
  <c r="F101" i="3" s="1"/>
  <c r="G118" i="3" s="1"/>
  <c r="B71" i="3"/>
  <c r="B80" i="3" s="1"/>
  <c r="C101" i="3" s="1"/>
  <c r="F86" i="3"/>
  <c r="G102" i="3" s="1"/>
  <c r="E86" i="3"/>
  <c r="F102" i="3" s="1"/>
  <c r="E202" i="1"/>
  <c r="D24" i="2"/>
  <c r="F24" i="2"/>
  <c r="C24" i="2"/>
  <c r="C23" i="2" s="1"/>
  <c r="E24" i="2"/>
  <c r="G24" i="2"/>
  <c r="D147" i="1"/>
  <c r="C135" i="1" s="1"/>
  <c r="C148" i="1"/>
  <c r="C150" i="1"/>
  <c r="C147" i="1"/>
  <c r="C149" i="1"/>
  <c r="C151" i="1"/>
  <c r="O192" i="1"/>
  <c r="O181" i="1"/>
  <c r="O182" i="1" s="1"/>
  <c r="R192" i="1"/>
  <c r="R181" i="1"/>
  <c r="R182" i="1" s="1"/>
  <c r="H91" i="1"/>
  <c r="E21" i="8"/>
  <c r="F21" i="8" s="1"/>
  <c r="G21" i="8" s="1"/>
  <c r="I91" i="1"/>
  <c r="G91" i="1"/>
  <c r="E20" i="8"/>
  <c r="F20" i="8" s="1"/>
  <c r="G20" i="8" s="1"/>
  <c r="F91" i="1"/>
  <c r="E12" i="12"/>
  <c r="D12" i="12"/>
  <c r="D24" i="8"/>
  <c r="D144" i="3"/>
  <c r="C31" i="8" s="1"/>
  <c r="C39" i="8" s="1"/>
  <c r="F121" i="3" l="1"/>
  <c r="D34" i="7"/>
  <c r="D99" i="3"/>
  <c r="C18" i="10" s="1"/>
  <c r="E34" i="7"/>
  <c r="E99" i="3"/>
  <c r="G34" i="7"/>
  <c r="G99" i="3"/>
  <c r="F18" i="10" s="1"/>
  <c r="F34" i="7"/>
  <c r="F99" i="3"/>
  <c r="E18" i="10" s="1"/>
  <c r="C8" i="10"/>
  <c r="E131" i="3"/>
  <c r="D10" i="8" s="1"/>
  <c r="D100" i="3"/>
  <c r="E115" i="3"/>
  <c r="E121" i="3" s="1"/>
  <c r="E138" i="3"/>
  <c r="D133" i="3"/>
  <c r="C12" i="8" s="1"/>
  <c r="C26" i="6"/>
  <c r="C27" i="6" s="1"/>
  <c r="E43" i="9" s="1"/>
  <c r="J99" i="12" s="1"/>
  <c r="D132" i="3"/>
  <c r="C11" i="8" s="1"/>
  <c r="G119" i="3"/>
  <c r="E15" i="10"/>
  <c r="B39" i="7"/>
  <c r="B44" i="7" s="1"/>
  <c r="B19" i="7"/>
  <c r="H119" i="3"/>
  <c r="F15" i="10"/>
  <c r="C16" i="12"/>
  <c r="C15" i="7"/>
  <c r="C40" i="7" s="1"/>
  <c r="C107" i="3"/>
  <c r="B21" i="12"/>
  <c r="B41" i="12" s="1"/>
  <c r="C62" i="12" s="1"/>
  <c r="B28" i="12"/>
  <c r="B24" i="5"/>
  <c r="B8" i="7" s="1"/>
  <c r="B11" i="7" s="1"/>
  <c r="B25" i="5"/>
  <c r="B30" i="12"/>
  <c r="C29" i="12" s="1"/>
  <c r="F29" i="12" s="1"/>
  <c r="C105" i="3"/>
  <c r="D118" i="3"/>
  <c r="D121" i="3" s="1"/>
  <c r="D105" i="3"/>
  <c r="D28" i="6" s="1"/>
  <c r="E105" i="3"/>
  <c r="E28" i="6" s="1"/>
  <c r="F105" i="3"/>
  <c r="F28" i="6" s="1"/>
  <c r="G105" i="3"/>
  <c r="G28" i="6" s="1"/>
  <c r="E144" i="3"/>
  <c r="D31" i="8" s="1"/>
  <c r="D39" i="8" s="1"/>
  <c r="R193" i="1"/>
  <c r="G203" i="1" s="1"/>
  <c r="O193" i="1"/>
  <c r="F203" i="1" s="1"/>
  <c r="E147" i="1"/>
  <c r="C136" i="1" s="1"/>
  <c r="E23" i="2"/>
  <c r="F23" i="2"/>
  <c r="G23" i="2"/>
  <c r="D23" i="2"/>
  <c r="E24" i="8"/>
  <c r="D27" i="8"/>
  <c r="F13" i="9"/>
  <c r="F24" i="8"/>
  <c r="D145" i="3"/>
  <c r="C22" i="5" s="1"/>
  <c r="G13" i="9"/>
  <c r="D26" i="6" l="1"/>
  <c r="D27" i="6" s="1"/>
  <c r="F43" i="9" s="1"/>
  <c r="J100" i="12" s="1"/>
  <c r="E132" i="3"/>
  <c r="D11" i="8" s="1"/>
  <c r="E133" i="3"/>
  <c r="D12" i="8" s="1"/>
  <c r="D18" i="10"/>
  <c r="E100" i="3"/>
  <c r="C106" i="3"/>
  <c r="C28" i="6"/>
  <c r="C29" i="6" s="1"/>
  <c r="C33" i="7" s="1"/>
  <c r="B35" i="8"/>
  <c r="B37" i="8" s="1"/>
  <c r="B38" i="8" s="1"/>
  <c r="C17" i="12"/>
  <c r="C16" i="7"/>
  <c r="C41" i="7" s="1"/>
  <c r="C32" i="8"/>
  <c r="B19" i="10"/>
  <c r="C32" i="6"/>
  <c r="C28" i="12"/>
  <c r="C30" i="12" s="1"/>
  <c r="F202" i="1"/>
  <c r="F96" i="3"/>
  <c r="E8" i="10" s="1"/>
  <c r="G202" i="1"/>
  <c r="G96" i="3"/>
  <c r="F8" i="10" s="1"/>
  <c r="F11" i="10" s="1"/>
  <c r="F12" i="10" s="1"/>
  <c r="B20" i="7"/>
  <c r="B32" i="7"/>
  <c r="B37" i="7" s="1"/>
  <c r="B45" i="7" s="1"/>
  <c r="D106" i="3"/>
  <c r="E129" i="3" s="1"/>
  <c r="D9" i="8" s="1"/>
  <c r="E106" i="3"/>
  <c r="E145" i="3"/>
  <c r="D22" i="5" s="1"/>
  <c r="J31" i="10"/>
  <c r="K31" i="10" s="1"/>
  <c r="F147" i="1"/>
  <c r="D148" i="1" s="1"/>
  <c r="D135" i="1" s="1"/>
  <c r="B11" i="10"/>
  <c r="I11" i="11" s="1"/>
  <c r="D128" i="3"/>
  <c r="F128" i="3"/>
  <c r="C11" i="10"/>
  <c r="E128" i="3"/>
  <c r="E27" i="8"/>
  <c r="G24" i="8"/>
  <c r="C33" i="6" l="1"/>
  <c r="C34" i="6" s="1"/>
  <c r="F133" i="3"/>
  <c r="E12" i="8" s="1"/>
  <c r="F132" i="3"/>
  <c r="E11" i="8" s="1"/>
  <c r="E26" i="6"/>
  <c r="E27" i="6" s="1"/>
  <c r="C108" i="3"/>
  <c r="D129" i="3"/>
  <c r="C9" i="8" s="1"/>
  <c r="E148" i="1"/>
  <c r="D136" i="1" s="1"/>
  <c r="D16" i="7" s="1"/>
  <c r="D41" i="7" s="1"/>
  <c r="D17" i="12"/>
  <c r="D16" i="12"/>
  <c r="D15" i="7"/>
  <c r="D40" i="7" s="1"/>
  <c r="D107" i="3"/>
  <c r="D108" i="3" s="1"/>
  <c r="D32" i="8"/>
  <c r="C33" i="8"/>
  <c r="E8" i="9"/>
  <c r="F28" i="12"/>
  <c r="F30" i="12" s="1"/>
  <c r="F32" i="12" s="1"/>
  <c r="C33" i="12" s="1"/>
  <c r="B42" i="12" s="1"/>
  <c r="H131" i="3"/>
  <c r="G10" i="8" s="1"/>
  <c r="H138" i="3"/>
  <c r="H144" i="3" s="1"/>
  <c r="G31" i="8" s="1"/>
  <c r="H115" i="3"/>
  <c r="H121" i="3" s="1"/>
  <c r="H128" i="3" s="1"/>
  <c r="G100" i="3"/>
  <c r="G115" i="3"/>
  <c r="G121" i="3" s="1"/>
  <c r="G128" i="3" s="1"/>
  <c r="G138" i="3"/>
  <c r="G144" i="3" s="1"/>
  <c r="F31" i="8" s="1"/>
  <c r="G131" i="3"/>
  <c r="F100" i="3"/>
  <c r="F129" i="3"/>
  <c r="E9" i="8" s="1"/>
  <c r="B46" i="7"/>
  <c r="B21" i="7"/>
  <c r="B8" i="8" s="1"/>
  <c r="B14" i="8" s="1"/>
  <c r="B28" i="8" s="1"/>
  <c r="J32" i="10"/>
  <c r="J38" i="10" s="1"/>
  <c r="B31" i="10"/>
  <c r="F144" i="3"/>
  <c r="D11" i="10"/>
  <c r="E11" i="10"/>
  <c r="E12" i="10" s="1"/>
  <c r="B12" i="10"/>
  <c r="H145" i="3"/>
  <c r="G22" i="5" s="1"/>
  <c r="C12" i="10"/>
  <c r="D31" i="10"/>
  <c r="F148" i="1"/>
  <c r="D29" i="6"/>
  <c r="D33" i="7" s="1"/>
  <c r="F27" i="8"/>
  <c r="E29" i="6" l="1"/>
  <c r="E33" i="7" s="1"/>
  <c r="G43" i="9"/>
  <c r="J101" i="12" s="1"/>
  <c r="K32" i="10"/>
  <c r="C8" i="6"/>
  <c r="C10" i="6" s="1"/>
  <c r="C109" i="3"/>
  <c r="D109" i="3"/>
  <c r="D8" i="6"/>
  <c r="D10" i="6" s="1"/>
  <c r="C17" i="7"/>
  <c r="C42" i="7" s="1"/>
  <c r="C18" i="12"/>
  <c r="F8" i="9"/>
  <c r="D33" i="8"/>
  <c r="C19" i="10"/>
  <c r="D32" i="6"/>
  <c r="D33" i="6" s="1"/>
  <c r="C35" i="6"/>
  <c r="C37" i="6" s="1"/>
  <c r="F145" i="3"/>
  <c r="E22" i="5" s="1"/>
  <c r="E31" i="8"/>
  <c r="E39" i="8" s="1"/>
  <c r="F26" i="6"/>
  <c r="F27" i="6" s="1"/>
  <c r="G132" i="3"/>
  <c r="F11" i="8" s="1"/>
  <c r="G133" i="3"/>
  <c r="F12" i="8" s="1"/>
  <c r="F106" i="3"/>
  <c r="H133" i="3"/>
  <c r="G12" i="8" s="1"/>
  <c r="G26" i="6"/>
  <c r="G27" i="6" s="1"/>
  <c r="H132" i="3"/>
  <c r="G11" i="8" s="1"/>
  <c r="G106" i="3"/>
  <c r="G39" i="8"/>
  <c r="F10" i="8"/>
  <c r="H13" i="9" s="1"/>
  <c r="I13" i="9"/>
  <c r="G145" i="3"/>
  <c r="F22" i="5" s="1"/>
  <c r="F134" i="3"/>
  <c r="F146" i="3" s="1"/>
  <c r="H31" i="10"/>
  <c r="H32" i="10" s="1"/>
  <c r="F31" i="10"/>
  <c r="F32" i="10" s="1"/>
  <c r="D12" i="10"/>
  <c r="B20" i="10"/>
  <c r="B21" i="10" s="1"/>
  <c r="D32" i="10"/>
  <c r="E31" i="10"/>
  <c r="D149" i="1"/>
  <c r="G27" i="8"/>
  <c r="F29" i="6" l="1"/>
  <c r="F33" i="7" s="1"/>
  <c r="H43" i="9"/>
  <c r="J102" i="12" s="1"/>
  <c r="C38" i="6"/>
  <c r="C36" i="8" s="1"/>
  <c r="H99" i="12"/>
  <c r="G29" i="6"/>
  <c r="I43" i="9"/>
  <c r="J103" i="12" s="1"/>
  <c r="C15" i="12"/>
  <c r="C14" i="7"/>
  <c r="C11" i="6"/>
  <c r="C12" i="6" s="1"/>
  <c r="C14" i="6" s="1"/>
  <c r="C15" i="6" s="1"/>
  <c r="D34" i="6"/>
  <c r="D15" i="12"/>
  <c r="D14" i="7"/>
  <c r="D11" i="6"/>
  <c r="D12" i="6" s="1"/>
  <c r="D14" i="6" s="1"/>
  <c r="G31" i="10"/>
  <c r="I31" i="10"/>
  <c r="F39" i="8"/>
  <c r="G129" i="3"/>
  <c r="F9" i="8" s="1"/>
  <c r="H129" i="3"/>
  <c r="G9" i="8" s="1"/>
  <c r="G33" i="7"/>
  <c r="D48" i="10"/>
  <c r="I9" i="11"/>
  <c r="F38" i="10"/>
  <c r="G32" i="10"/>
  <c r="B22" i="10"/>
  <c r="B23" i="10" s="1"/>
  <c r="D47" i="10"/>
  <c r="E47" i="10" s="1"/>
  <c r="H38" i="10"/>
  <c r="I32" i="10"/>
  <c r="E32" i="10"/>
  <c r="D38" i="10"/>
  <c r="E149" i="1"/>
  <c r="E136" i="1" s="1"/>
  <c r="E135" i="1"/>
  <c r="D134" i="3"/>
  <c r="E134" i="3"/>
  <c r="H134" i="3" l="1"/>
  <c r="H146" i="3" s="1"/>
  <c r="H10" i="7" s="1"/>
  <c r="H11" i="7" s="1"/>
  <c r="G134" i="3"/>
  <c r="D15" i="6"/>
  <c r="E16" i="12"/>
  <c r="E15" i="7"/>
  <c r="E40" i="7" s="1"/>
  <c r="E107" i="3"/>
  <c r="D18" i="12"/>
  <c r="D17" i="7"/>
  <c r="D42" i="7" s="1"/>
  <c r="E16" i="7"/>
  <c r="E41" i="7" s="1"/>
  <c r="E17" i="12"/>
  <c r="E32" i="8"/>
  <c r="D35" i="6"/>
  <c r="D37" i="6" s="1"/>
  <c r="I13" i="11"/>
  <c r="E48" i="10"/>
  <c r="F149" i="1"/>
  <c r="I15" i="11"/>
  <c r="E146" i="3"/>
  <c r="E135" i="3"/>
  <c r="D9" i="5" s="1"/>
  <c r="D10" i="5" s="1"/>
  <c r="F135" i="3"/>
  <c r="D146" i="3"/>
  <c r="D147" i="3" s="1"/>
  <c r="D135" i="3"/>
  <c r="H135" i="3" l="1"/>
  <c r="G9" i="5" s="1"/>
  <c r="G10" i="5" s="1"/>
  <c r="G13" i="7" s="1"/>
  <c r="D38" i="6"/>
  <c r="D36" i="8" s="1"/>
  <c r="H100" i="12"/>
  <c r="G135" i="3"/>
  <c r="F9" i="5" s="1"/>
  <c r="F10" i="5" s="1"/>
  <c r="G146" i="3"/>
  <c r="G147" i="3" s="1"/>
  <c r="F16" i="4" s="1"/>
  <c r="F17" i="4" s="1"/>
  <c r="F18" i="5" s="1"/>
  <c r="C16" i="4"/>
  <c r="C17" i="4" s="1"/>
  <c r="D13" i="7"/>
  <c r="D39" i="7" s="1"/>
  <c r="D44" i="7" s="1"/>
  <c r="C9" i="5"/>
  <c r="C10" i="5" s="1"/>
  <c r="E33" i="8"/>
  <c r="G8" i="9"/>
  <c r="D19" i="10"/>
  <c r="E32" i="6"/>
  <c r="E33" i="6" s="1"/>
  <c r="E108" i="3"/>
  <c r="E9" i="5"/>
  <c r="E10" i="5" s="1"/>
  <c r="C20" i="10"/>
  <c r="D150" i="1"/>
  <c r="F147" i="3"/>
  <c r="E147" i="3"/>
  <c r="D16" i="4" s="1"/>
  <c r="D17" i="4" s="1"/>
  <c r="D19" i="7" l="1"/>
  <c r="F24" i="5"/>
  <c r="F8" i="7" s="1"/>
  <c r="F11" i="7" s="1"/>
  <c r="D14" i="12"/>
  <c r="D19" i="12" s="1"/>
  <c r="D20" i="12" s="1"/>
  <c r="D21" i="12" s="1"/>
  <c r="D41" i="12" s="1"/>
  <c r="F63" i="12" s="1"/>
  <c r="D18" i="5"/>
  <c r="D24" i="5" s="1"/>
  <c r="C14" i="12"/>
  <c r="C19" i="12" s="1"/>
  <c r="C20" i="12" s="1"/>
  <c r="C21" i="12" s="1"/>
  <c r="C41" i="12" s="1"/>
  <c r="C18" i="5"/>
  <c r="H147" i="3"/>
  <c r="G16" i="4" s="1"/>
  <c r="G17" i="4" s="1"/>
  <c r="F13" i="7"/>
  <c r="F39" i="7" s="1"/>
  <c r="C13" i="7"/>
  <c r="E109" i="3"/>
  <c r="E8" i="6"/>
  <c r="E10" i="6" s="1"/>
  <c r="E11" i="6" s="1"/>
  <c r="E12" i="6" s="1"/>
  <c r="E14" i="6" s="1"/>
  <c r="E15" i="6" s="1"/>
  <c r="E34" i="6"/>
  <c r="E35" i="6" s="1"/>
  <c r="E37" i="6" s="1"/>
  <c r="F14" i="12"/>
  <c r="E16" i="4"/>
  <c r="E17" i="4" s="1"/>
  <c r="E18" i="5" s="1"/>
  <c r="E24" i="5" s="1"/>
  <c r="E13" i="7"/>
  <c r="G39" i="7"/>
  <c r="F135" i="1"/>
  <c r="E150" i="1"/>
  <c r="F136" i="1" s="1"/>
  <c r="D34" i="10"/>
  <c r="D36" i="10" s="1"/>
  <c r="C22" i="10"/>
  <c r="C23" i="10" s="1"/>
  <c r="C24" i="10" s="1"/>
  <c r="C25" i="10" s="1"/>
  <c r="C21" i="10"/>
  <c r="D40" i="10"/>
  <c r="H20" i="7"/>
  <c r="H11" i="12" s="1"/>
  <c r="H12" i="12" s="1"/>
  <c r="H36" i="7"/>
  <c r="H37" i="7" s="1"/>
  <c r="H45" i="7" s="1"/>
  <c r="B47" i="12" l="1"/>
  <c r="B56" i="12" s="1"/>
  <c r="E38" i="6"/>
  <c r="E36" i="8" s="1"/>
  <c r="H101" i="12"/>
  <c r="E14" i="12"/>
  <c r="F32" i="7"/>
  <c r="F37" i="7" s="1"/>
  <c r="G14" i="12"/>
  <c r="G18" i="5"/>
  <c r="G24" i="5" s="1"/>
  <c r="D32" i="7"/>
  <c r="D37" i="7" s="1"/>
  <c r="D45" i="7" s="1"/>
  <c r="D8" i="7"/>
  <c r="D11" i="7" s="1"/>
  <c r="D20" i="7" s="1"/>
  <c r="F62" i="12"/>
  <c r="C25" i="5"/>
  <c r="C24" i="5"/>
  <c r="C39" i="7"/>
  <c r="C44" i="7" s="1"/>
  <c r="C19" i="7"/>
  <c r="F16" i="12"/>
  <c r="F15" i="7"/>
  <c r="F40" i="7" s="1"/>
  <c r="F107" i="3"/>
  <c r="E17" i="7"/>
  <c r="E42" i="7" s="1"/>
  <c r="E18" i="12"/>
  <c r="E14" i="7"/>
  <c r="E19" i="7" s="1"/>
  <c r="E15" i="12"/>
  <c r="F17" i="12"/>
  <c r="F16" i="7"/>
  <c r="F41" i="7" s="1"/>
  <c r="F32" i="8"/>
  <c r="H20" i="12"/>
  <c r="H41" i="12" s="1"/>
  <c r="F67" i="12" s="1"/>
  <c r="E39" i="7"/>
  <c r="E8" i="7"/>
  <c r="E11" i="7" s="1"/>
  <c r="E32" i="7"/>
  <c r="E37" i="7" s="1"/>
  <c r="F150" i="1"/>
  <c r="E19" i="12" l="1"/>
  <c r="E20" i="12" s="1"/>
  <c r="E21" i="12" s="1"/>
  <c r="E41" i="12" s="1"/>
  <c r="G8" i="7"/>
  <c r="G11" i="7" s="1"/>
  <c r="G32" i="7"/>
  <c r="G37" i="7" s="1"/>
  <c r="E20" i="7"/>
  <c r="E44" i="7"/>
  <c r="E45" i="7" s="1"/>
  <c r="C8" i="7"/>
  <c r="C11" i="7" s="1"/>
  <c r="C20" i="7" s="1"/>
  <c r="C21" i="7" s="1"/>
  <c r="C32" i="7"/>
  <c r="C37" i="7" s="1"/>
  <c r="C45" i="7" s="1"/>
  <c r="C46" i="7" s="1"/>
  <c r="D46" i="7" s="1"/>
  <c r="C35" i="8"/>
  <c r="C37" i="8" s="1"/>
  <c r="C38" i="8" s="1"/>
  <c r="D25" i="5"/>
  <c r="F33" i="8"/>
  <c r="H8" i="9"/>
  <c r="E19" i="10"/>
  <c r="F32" i="6"/>
  <c r="F33" i="6" s="1"/>
  <c r="F108" i="3"/>
  <c r="D20" i="10"/>
  <c r="D151" i="1"/>
  <c r="F64" i="12" l="1"/>
  <c r="E46" i="7"/>
  <c r="C8" i="8"/>
  <c r="C14" i="8" s="1"/>
  <c r="D21" i="7"/>
  <c r="D35" i="8"/>
  <c r="D37" i="8" s="1"/>
  <c r="D38" i="8" s="1"/>
  <c r="E25" i="5"/>
  <c r="F34" i="6"/>
  <c r="F109" i="3"/>
  <c r="F8" i="6"/>
  <c r="F10" i="6" s="1"/>
  <c r="F11" i="6" s="1"/>
  <c r="F12" i="6" s="1"/>
  <c r="F14" i="6" s="1"/>
  <c r="F15" i="6" s="1"/>
  <c r="E151" i="1"/>
  <c r="G135" i="1"/>
  <c r="D21" i="10"/>
  <c r="F40" i="10"/>
  <c r="D22" i="10"/>
  <c r="D23" i="10" s="1"/>
  <c r="D24" i="10" s="1"/>
  <c r="D25" i="10" s="1"/>
  <c r="F34" i="10"/>
  <c r="F36" i="10" s="1"/>
  <c r="C28" i="8" l="1"/>
  <c r="E6" i="9"/>
  <c r="I99" i="12" s="1"/>
  <c r="F25" i="5"/>
  <c r="E35" i="8"/>
  <c r="E37" i="8" s="1"/>
  <c r="E38" i="8" s="1"/>
  <c r="D8" i="8"/>
  <c r="D14" i="8" s="1"/>
  <c r="F6" i="9" s="1"/>
  <c r="I100" i="12" s="1"/>
  <c r="E21" i="7"/>
  <c r="E8" i="8" s="1"/>
  <c r="E14" i="8" s="1"/>
  <c r="G6" i="9" s="1"/>
  <c r="I101" i="12" s="1"/>
  <c r="G16" i="12"/>
  <c r="G15" i="7"/>
  <c r="G40" i="7" s="1"/>
  <c r="G107" i="3"/>
  <c r="F17" i="7"/>
  <c r="F42" i="7" s="1"/>
  <c r="F44" i="7" s="1"/>
  <c r="F45" i="7" s="1"/>
  <c r="F46" i="7" s="1"/>
  <c r="F18" i="12"/>
  <c r="F151" i="1"/>
  <c r="G136" i="1"/>
  <c r="F14" i="7"/>
  <c r="F15" i="12"/>
  <c r="F35" i="6"/>
  <c r="F37" i="6" s="1"/>
  <c r="F19" i="7" l="1"/>
  <c r="F19" i="12"/>
  <c r="F20" i="12" s="1"/>
  <c r="F21" i="12" s="1"/>
  <c r="F38" i="6"/>
  <c r="H102" i="12"/>
  <c r="G7" i="9"/>
  <c r="E28" i="8"/>
  <c r="D28" i="8"/>
  <c r="F7" i="9"/>
  <c r="F35" i="8"/>
  <c r="G25" i="5"/>
  <c r="G35" i="8" s="1"/>
  <c r="F36" i="8"/>
  <c r="G16" i="7"/>
  <c r="G41" i="7" s="1"/>
  <c r="G17" i="12"/>
  <c r="G32" i="8"/>
  <c r="G33" i="8" s="1"/>
  <c r="F19" i="10"/>
  <c r="F20" i="10" s="1"/>
  <c r="G32" i="6"/>
  <c r="G33" i="6" s="1"/>
  <c r="G108" i="3"/>
  <c r="E20" i="10"/>
  <c r="F20" i="7"/>
  <c r="F21" i="7" s="1"/>
  <c r="F8" i="8" s="1"/>
  <c r="F14" i="8" s="1"/>
  <c r="H6" i="9" s="1"/>
  <c r="I102" i="12" s="1"/>
  <c r="F37" i="8" l="1"/>
  <c r="F38" i="8" s="1"/>
  <c r="G34" i="6"/>
  <c r="G35" i="6" s="1"/>
  <c r="G37" i="6" s="1"/>
  <c r="G8" i="6"/>
  <c r="G10" i="6" s="1"/>
  <c r="G11" i="6" s="1"/>
  <c r="G12" i="6" s="1"/>
  <c r="G14" i="6" s="1"/>
  <c r="G15" i="6" s="1"/>
  <c r="G109" i="3"/>
  <c r="F21" i="10"/>
  <c r="F22" i="10"/>
  <c r="F23" i="10" s="1"/>
  <c r="F24" i="10" s="1"/>
  <c r="F25" i="10" s="1"/>
  <c r="J40" i="10"/>
  <c r="J34" i="10"/>
  <c r="J36" i="10" s="1"/>
  <c r="F41" i="12"/>
  <c r="E22" i="10"/>
  <c r="E23" i="10" s="1"/>
  <c r="E24" i="10" s="1"/>
  <c r="E25" i="10" s="1"/>
  <c r="H40" i="10"/>
  <c r="E21" i="10"/>
  <c r="H34" i="10"/>
  <c r="H36" i="10" s="1"/>
  <c r="G38" i="6" l="1"/>
  <c r="G36" i="8" s="1"/>
  <c r="H103" i="12"/>
  <c r="G17" i="7"/>
  <c r="G42" i="7" s="1"/>
  <c r="G44" i="7" s="1"/>
  <c r="G45" i="7" s="1"/>
  <c r="G46" i="7" s="1"/>
  <c r="H46" i="7" s="1"/>
  <c r="G18" i="12"/>
  <c r="G14" i="7"/>
  <c r="G15" i="12"/>
  <c r="G19" i="12" s="1"/>
  <c r="G20" i="12" s="1"/>
  <c r="G21" i="12" s="1"/>
  <c r="G37" i="8"/>
  <c r="G38" i="8" s="1"/>
  <c r="F28" i="8"/>
  <c r="H7" i="9"/>
  <c r="F65" i="12"/>
  <c r="G19" i="7" l="1"/>
  <c r="G20" i="7" s="1"/>
  <c r="G21" i="7" s="1"/>
  <c r="H21" i="7" l="1"/>
  <c r="G8" i="8"/>
  <c r="G14" i="8" s="1"/>
  <c r="I6" i="9" s="1"/>
  <c r="I103" i="12" s="1"/>
  <c r="G41" i="12"/>
  <c r="C75" i="13" l="1"/>
  <c r="C16" i="13"/>
  <c r="C32" i="13"/>
  <c r="C48" i="13"/>
  <c r="C64" i="13"/>
  <c r="C80" i="13"/>
  <c r="C21" i="13"/>
  <c r="C37" i="13"/>
  <c r="C53" i="13"/>
  <c r="C69" i="13"/>
  <c r="C10" i="13"/>
  <c r="C26" i="13"/>
  <c r="C42" i="13"/>
  <c r="C58" i="13"/>
  <c r="C74" i="13"/>
  <c r="C15" i="13"/>
  <c r="C31" i="13"/>
  <c r="C47" i="13"/>
  <c r="C63" i="13"/>
  <c r="C71" i="13"/>
  <c r="C12" i="13"/>
  <c r="C28" i="13"/>
  <c r="C44" i="13"/>
  <c r="C60" i="13"/>
  <c r="C76" i="13"/>
  <c r="C17" i="13"/>
  <c r="C33" i="13"/>
  <c r="C49" i="13"/>
  <c r="C65" i="13"/>
  <c r="C6" i="13"/>
  <c r="C22" i="13"/>
  <c r="C38" i="13"/>
  <c r="C54" i="13"/>
  <c r="C70" i="13"/>
  <c r="C11" i="13"/>
  <c r="C27" i="13"/>
  <c r="C43" i="13"/>
  <c r="C59" i="13"/>
  <c r="C8" i="13"/>
  <c r="C24" i="13"/>
  <c r="C40" i="13"/>
  <c r="C56" i="13"/>
  <c r="C72" i="13"/>
  <c r="C13" i="13"/>
  <c r="C29" i="13"/>
  <c r="C45" i="13"/>
  <c r="C61" i="13"/>
  <c r="C77" i="13"/>
  <c r="C18" i="13"/>
  <c r="C34" i="13"/>
  <c r="C50" i="13"/>
  <c r="C66" i="13"/>
  <c r="C7" i="13"/>
  <c r="C23" i="13"/>
  <c r="C39" i="13"/>
  <c r="C55" i="13"/>
  <c r="C5" i="13"/>
  <c r="C79" i="13"/>
  <c r="C20" i="13"/>
  <c r="C36" i="13"/>
  <c r="C52" i="13"/>
  <c r="C68" i="13"/>
  <c r="C9" i="13"/>
  <c r="C25" i="13"/>
  <c r="C41" i="13"/>
  <c r="C57" i="13"/>
  <c r="C73" i="13"/>
  <c r="C14" i="13"/>
  <c r="C30" i="13"/>
  <c r="C46" i="13"/>
  <c r="C62" i="13"/>
  <c r="C78" i="13"/>
  <c r="C19" i="13"/>
  <c r="C35" i="13"/>
  <c r="C51" i="13"/>
  <c r="C67" i="13"/>
  <c r="E149" i="12"/>
  <c r="E150" i="12"/>
  <c r="E147" i="12"/>
  <c r="E148" i="12"/>
  <c r="E151" i="12"/>
  <c r="B43" i="12"/>
  <c r="H34" i="13" s="1"/>
  <c r="E107" i="12"/>
  <c r="E109" i="12"/>
  <c r="E111" i="12"/>
  <c r="E113" i="12"/>
  <c r="E115" i="12"/>
  <c r="E117" i="12"/>
  <c r="E119" i="12"/>
  <c r="E121" i="12"/>
  <c r="E123" i="12"/>
  <c r="E125" i="12"/>
  <c r="E127" i="12"/>
  <c r="E129" i="12"/>
  <c r="E131" i="12"/>
  <c r="E133" i="12"/>
  <c r="E135" i="12"/>
  <c r="E137" i="12"/>
  <c r="E139" i="12"/>
  <c r="E141" i="12"/>
  <c r="E143" i="12"/>
  <c r="E145" i="12"/>
  <c r="E108" i="12"/>
  <c r="E110" i="12"/>
  <c r="E112" i="12"/>
  <c r="E114" i="12"/>
  <c r="E116" i="12"/>
  <c r="E118" i="12"/>
  <c r="E120" i="12"/>
  <c r="E122" i="12"/>
  <c r="E124" i="12"/>
  <c r="E126" i="12"/>
  <c r="E128" i="12"/>
  <c r="E130" i="12"/>
  <c r="E132" i="12"/>
  <c r="E134" i="12"/>
  <c r="E136" i="12"/>
  <c r="E138" i="12"/>
  <c r="E140" i="12"/>
  <c r="E142" i="12"/>
  <c r="E144" i="12"/>
  <c r="E146" i="12"/>
  <c r="F66" i="12"/>
  <c r="E93" i="12"/>
  <c r="E88" i="12"/>
  <c r="E75" i="12"/>
  <c r="E71" i="12"/>
  <c r="E102" i="12"/>
  <c r="E97" i="12"/>
  <c r="E92" i="12"/>
  <c r="E87" i="12"/>
  <c r="E82" i="12"/>
  <c r="E74" i="12"/>
  <c r="B46" i="12"/>
  <c r="B52" i="12" s="1"/>
  <c r="E101" i="12"/>
  <c r="E96" i="12"/>
  <c r="E83" i="12"/>
  <c r="E78" i="12"/>
  <c r="E73" i="12"/>
  <c r="E105" i="12"/>
  <c r="E100" i="12"/>
  <c r="E95" i="12"/>
  <c r="E94" i="12"/>
  <c r="E84" i="12"/>
  <c r="E90" i="12"/>
  <c r="E77" i="12"/>
  <c r="E72" i="12"/>
  <c r="E104" i="12"/>
  <c r="E91" i="12"/>
  <c r="E86" i="12"/>
  <c r="E81" i="12"/>
  <c r="E76" i="12"/>
  <c r="B44" i="12"/>
  <c r="J34" i="13" s="1"/>
  <c r="F36" i="13" s="1"/>
  <c r="E103" i="12"/>
  <c r="E98" i="12"/>
  <c r="E106" i="12"/>
  <c r="E85" i="12"/>
  <c r="E80" i="12"/>
  <c r="E99" i="12"/>
  <c r="E89" i="12"/>
  <c r="E79" i="12"/>
  <c r="I7" i="9"/>
  <c r="G28" i="8"/>
  <c r="B49" i="12" l="1"/>
  <c r="B50" i="12" s="1"/>
  <c r="I90" i="12"/>
  <c r="D62" i="12"/>
  <c r="E62" i="12" s="1"/>
  <c r="G62" i="12" s="1"/>
  <c r="C63" i="12" s="1"/>
  <c r="D63" i="12" s="1"/>
  <c r="E63" i="12" s="1"/>
  <c r="G63" i="12" s="1"/>
  <c r="C64" i="12" s="1"/>
  <c r="D64" i="12" s="1"/>
  <c r="E64" i="12" s="1"/>
  <c r="G64" i="12" s="1"/>
  <c r="C65" i="12" s="1"/>
  <c r="D65" i="12" s="1"/>
  <c r="E65" i="12" s="1"/>
  <c r="G65" i="12" s="1"/>
  <c r="C66" i="12" s="1"/>
  <c r="D66" i="12" s="1"/>
  <c r="E66" i="12" s="1"/>
  <c r="G66" i="12" s="1"/>
  <c r="C67" i="12" s="1"/>
  <c r="D67" i="12" s="1"/>
  <c r="E67" i="12" s="1"/>
  <c r="G67" i="12" s="1"/>
  <c r="H90" i="12"/>
  <c r="L92" i="12" s="1"/>
  <c r="B48" i="12"/>
  <c r="B53" i="12"/>
  <c r="G56" i="12" s="1"/>
  <c r="B57" i="12" s="1"/>
  <c r="K90" i="12" s="1"/>
  <c r="B24" i="10"/>
  <c r="B30" i="10"/>
  <c r="C31" i="10" s="1"/>
  <c r="J90" i="12" l="1"/>
  <c r="I34" i="13"/>
  <c r="B25" i="10"/>
  <c r="I17" i="11"/>
  <c r="B32" i="10"/>
  <c r="I7" i="11"/>
  <c r="C30" i="10"/>
  <c r="C48" i="10"/>
  <c r="C32" i="10" l="1"/>
  <c r="B34" i="10" s="1"/>
  <c r="L90" i="12" s="1"/>
  <c r="B38" i="10"/>
  <c r="B40" i="10" s="1"/>
  <c r="B36" i="10" l="1"/>
  <c r="I21" i="11"/>
  <c r="I19" i="11" l="1"/>
  <c r="M90" i="12"/>
</calcChain>
</file>

<file path=xl/sharedStrings.xml><?xml version="1.0" encoding="utf-8"?>
<sst xmlns="http://schemas.openxmlformats.org/spreadsheetml/2006/main" count="959" uniqueCount="598">
  <si>
    <t>INGRESOS POR CONCEPTO DE VENTAS</t>
  </si>
  <si>
    <t xml:space="preserve">Fase </t>
  </si>
  <si>
    <t>Inversión</t>
  </si>
  <si>
    <t>Operacional</t>
  </si>
  <si>
    <t>Nivel de producción</t>
  </si>
  <si>
    <t>Precio de venta</t>
  </si>
  <si>
    <t>Año</t>
  </si>
  <si>
    <t>Cuadro 12.9</t>
  </si>
  <si>
    <t>DEPRACIACIÓN DE INVERSIONES FIJAS</t>
  </si>
  <si>
    <t>(Millones del año 1)</t>
  </si>
  <si>
    <t>ACTIVO FIJO</t>
  </si>
  <si>
    <t>Edificios</t>
  </si>
  <si>
    <t>Maquinaria y Equipos</t>
  </si>
  <si>
    <t>Vehículos</t>
  </si>
  <si>
    <t>Herramientas</t>
  </si>
  <si>
    <t>TOTAL</t>
  </si>
  <si>
    <t>VALORES</t>
  </si>
  <si>
    <t>VIDA ÚTIL</t>
  </si>
  <si>
    <t>Cuadro 12.11</t>
  </si>
  <si>
    <t>AMORTIZACIÓN DE DIFERIDOS</t>
  </si>
  <si>
    <t>Amortización de diferidos</t>
  </si>
  <si>
    <t>VALOR</t>
  </si>
  <si>
    <t>Cuadro 12.12</t>
  </si>
  <si>
    <t>COSTOS DE FINANCIACIÓN Y PAGO PRESTAMO</t>
  </si>
  <si>
    <t>MONTO SOLICITADO</t>
  </si>
  <si>
    <t>INTERES EFECTIVO ANUAL</t>
  </si>
  <si>
    <t>NUMERO DE CUOTAS</t>
  </si>
  <si>
    <t>TABLA DE AMORTIZACIÓN DEL CRÉDITO</t>
  </si>
  <si>
    <t>AÑOS</t>
  </si>
  <si>
    <t>VALOR DE LA CUOTA</t>
  </si>
  <si>
    <t>CUOTA</t>
  </si>
  <si>
    <t>INTERESES</t>
  </si>
  <si>
    <t>AMORTIZACIÓN A CAPITAL</t>
  </si>
  <si>
    <t>SALDOS</t>
  </si>
  <si>
    <t>Costos de financiación (Intereses)</t>
  </si>
  <si>
    <t>Pago a préstamo</t>
  </si>
  <si>
    <t>COSTO DE MATERIA PRIMA DE LA UNIDADES VENDIDAS</t>
  </si>
  <si>
    <t>Cuadro 12.13</t>
  </si>
  <si>
    <t>Costo unitario (Unidades monetarias)</t>
  </si>
  <si>
    <t>Cuadro 12.14</t>
  </si>
  <si>
    <t>COSTO DE LA MANO DE OBRA DE LA UNIDADES VENDIDAS</t>
  </si>
  <si>
    <t>Cuadro 12.15</t>
  </si>
  <si>
    <t>GASTOS GENERALES DE FABRICACIÓN DE LAS UNIDADES VENDIDAS</t>
  </si>
  <si>
    <t>Costo unitario gastos generales de fabricación (unidades monetarias)</t>
  </si>
  <si>
    <t>Cuadro 12.16</t>
  </si>
  <si>
    <t>COSTOS DE OPERACIÓN Y DE FINANCIACIÓN</t>
  </si>
  <si>
    <t>Materiales e insumos</t>
  </si>
  <si>
    <t>Mano de obra directa</t>
  </si>
  <si>
    <t>Gastos generales de fabricación</t>
  </si>
  <si>
    <t>Depreciación</t>
  </si>
  <si>
    <t xml:space="preserve"> 1. COSTOS DE VENTAS</t>
  </si>
  <si>
    <t>Gastos generales de administración</t>
  </si>
  <si>
    <t>Gastos generales de ventas</t>
  </si>
  <si>
    <t>Gastos generales de distribución</t>
  </si>
  <si>
    <t xml:space="preserve"> 2. GASTOS OPERATIVOS</t>
  </si>
  <si>
    <t>COSTOS DE OPERACIÓN (1+2)</t>
  </si>
  <si>
    <t>COSTOS DE FINANCIACIÓN (Intereses)</t>
  </si>
  <si>
    <t>TOTAL COSTOS DE OPERACIÓN Y DE FINANCIACIÓN</t>
  </si>
  <si>
    <t>Cuadro 12.17</t>
  </si>
  <si>
    <t>CAPITAL DE TRABAJO - SALDO DE EFECTIVO REQUERIDO EN CAJA</t>
  </si>
  <si>
    <t>Días de cobertura</t>
  </si>
  <si>
    <t>Coeficiente de renovación</t>
  </si>
  <si>
    <t>AÑO</t>
  </si>
  <si>
    <t>SALDO DE EFECTIVO REQUERIDOEN CAJA</t>
  </si>
  <si>
    <t>Cuadro 12.18</t>
  </si>
  <si>
    <t>CALCULO DE CAPITAL DE TRABAJO</t>
  </si>
  <si>
    <t>Activo corriente</t>
  </si>
  <si>
    <t xml:space="preserve"> 1. Saldo de efectivo requerido en caja</t>
  </si>
  <si>
    <t xml:space="preserve"> 2. Cuentas por cobrar</t>
  </si>
  <si>
    <t xml:space="preserve"> 3. Existencias </t>
  </si>
  <si>
    <t xml:space="preserve">     Materiales e insumos</t>
  </si>
  <si>
    <t xml:space="preserve">     Productos en proceso</t>
  </si>
  <si>
    <t xml:space="preserve">     Productos terminados </t>
  </si>
  <si>
    <t>Total activo corriente</t>
  </si>
  <si>
    <t>Incrementos del activo corriente</t>
  </si>
  <si>
    <t xml:space="preserve">Pasivo corriente </t>
  </si>
  <si>
    <t xml:space="preserve"> 1. Cuentas por pagar</t>
  </si>
  <si>
    <t xml:space="preserve">      Materiales e insumos </t>
  </si>
  <si>
    <t xml:space="preserve">      Mano de obra directa</t>
  </si>
  <si>
    <t xml:space="preserve">      Gastos generales de fabricación</t>
  </si>
  <si>
    <t xml:space="preserve">     Gastos generales de administración</t>
  </si>
  <si>
    <t xml:space="preserve">    Gastos generales de ventas</t>
  </si>
  <si>
    <t xml:space="preserve">     Gastos generales de diatribución</t>
  </si>
  <si>
    <t>Total pasivo corriente</t>
  </si>
  <si>
    <t>Incrementos del pasivo corriente</t>
  </si>
  <si>
    <t>CAPITAL DE TRABAJO
(Activo corriente menos pasivo corriente)</t>
  </si>
  <si>
    <t>Incrementos del capital de trabajo</t>
  </si>
  <si>
    <t>Cuadro 12.19</t>
  </si>
  <si>
    <t>INVERSIONES DEL PROYECTO</t>
  </si>
  <si>
    <t xml:space="preserve"> 1. Inversiones fijas</t>
  </si>
  <si>
    <t xml:space="preserve">     (Iniciales y reposiciones)</t>
  </si>
  <si>
    <t xml:space="preserve">     Terrenos</t>
  </si>
  <si>
    <t xml:space="preserve">     Edicios </t>
  </si>
  <si>
    <t xml:space="preserve">     Maquinaria y equipo</t>
  </si>
  <si>
    <t xml:space="preserve">     Vehículos</t>
  </si>
  <si>
    <t>Total inversiones fijas</t>
  </si>
  <si>
    <t xml:space="preserve"> 2. Gastos preoperativos</t>
  </si>
  <si>
    <t xml:space="preserve"> 3. Incremento del capital de trabajo</t>
  </si>
  <si>
    <t xml:space="preserve">TOTAL INVERSIONES   </t>
  </si>
  <si>
    <t>Cuadro 12.20</t>
  </si>
  <si>
    <t>ACTIVOS TOTALES</t>
  </si>
  <si>
    <t>Inversiones fijas</t>
  </si>
  <si>
    <t>(iniciales y reposición)</t>
  </si>
  <si>
    <t>Gastos preoperativos</t>
  </si>
  <si>
    <t>Incremento del activo corriente</t>
  </si>
  <si>
    <t xml:space="preserve">TOTAL </t>
  </si>
  <si>
    <t>Cuadro 12.21</t>
  </si>
  <si>
    <t>RECURSOS FINANCIEROS</t>
  </si>
  <si>
    <t>Aporte del capital o capital social</t>
  </si>
  <si>
    <t>Crédito de abastecedores</t>
  </si>
  <si>
    <t>Préstamo bancarios</t>
  </si>
  <si>
    <t>Rendimientos financieros</t>
  </si>
  <si>
    <t>Otros recursos (arrendamientos, participaciones, etc).</t>
  </si>
  <si>
    <t>Cuadro 12.22</t>
  </si>
  <si>
    <t>ESTADO DE PERDIDAS Y GANANCIAS O ESTADO DE RESULTADOS</t>
  </si>
  <si>
    <t>Ingresos por concepto de ventas</t>
  </si>
  <si>
    <t>Más otros ingresos</t>
  </si>
  <si>
    <t>Menos costos de operación y de financiación</t>
  </si>
  <si>
    <t>Menos otros egresos</t>
  </si>
  <si>
    <t>Utilidad antes de impuestos</t>
  </si>
  <si>
    <t>Utilidad neta</t>
  </si>
  <si>
    <t>Menos dividendos</t>
  </si>
  <si>
    <t>Utilidades no repartidas</t>
  </si>
  <si>
    <t>Utilidades no repartidas acumuladas (Reservas)</t>
  </si>
  <si>
    <t>Cuadro 12.23</t>
  </si>
  <si>
    <t>(En la forma que lo exige la banca comercial)</t>
  </si>
  <si>
    <t>Ingreso por concepto de ventas</t>
  </si>
  <si>
    <t>Menos costos de ventas</t>
  </si>
  <si>
    <t>Utilidad bruta en ventas</t>
  </si>
  <si>
    <t>Menos gastos operativos</t>
  </si>
  <si>
    <t>Utilidad operativa</t>
  </si>
  <si>
    <t>Menos costos de financiación</t>
  </si>
  <si>
    <t>Utilidad no repartidas</t>
  </si>
  <si>
    <t>Utilidad no repartidas acumuladas (reservas)</t>
  </si>
  <si>
    <t>Cuadro 12.24</t>
  </si>
  <si>
    <t>FUENTES Y USOS DE FONDOS DE EFECTIVO</t>
  </si>
  <si>
    <t>ENTRADAS DE EFECTIVO</t>
  </si>
  <si>
    <t xml:space="preserve"> 1. Recursos financieros</t>
  </si>
  <si>
    <t xml:space="preserve"> 2. Ingresos por concepto de ventas</t>
  </si>
  <si>
    <t xml:space="preserve"> 3. Valor remanente en el último año</t>
  </si>
  <si>
    <t>Valor remanente en el último año</t>
  </si>
  <si>
    <t>Terrenos</t>
  </si>
  <si>
    <t>TOTAL ENTRADAS DE EFECTIVO</t>
  </si>
  <si>
    <t>SALIDAS DE EFECTIVO</t>
  </si>
  <si>
    <t xml:space="preserve"> 1. Incrementos de los activos totales</t>
  </si>
  <si>
    <t>TOTAL COSTOS DE OPERACIÓN NETOS DE DEPRECIACION, AMORTIZACIÓN Y COSTOS FINANCIEROS</t>
  </si>
  <si>
    <t xml:space="preserve"> 3. Costos de financiación (Intereses)</t>
  </si>
  <si>
    <t xml:space="preserve"> 4. Pago de préstamo</t>
  </si>
  <si>
    <t xml:space="preserve"> 2. Costos de operación, netos de
      depreciación y de amortización de diferidos</t>
  </si>
  <si>
    <t xml:space="preserve"> 5. Impuestos</t>
  </si>
  <si>
    <t xml:space="preserve"> 6. Dividendos</t>
  </si>
  <si>
    <t>TOTAL SALIDAS DE EFECTIVO</t>
  </si>
  <si>
    <t>ENTRADAS MENOS SALIDAS</t>
  </si>
  <si>
    <t>SALDO ACUMULADOS DE EFECTIVO</t>
  </si>
  <si>
    <t>Cuadro 12.25</t>
  </si>
  <si>
    <t xml:space="preserve"> 2. Utilidad operativa</t>
  </si>
  <si>
    <t xml:space="preserve"> 3. Depreciación</t>
  </si>
  <si>
    <t xml:space="preserve"> 4. Amortización de diferidos</t>
  </si>
  <si>
    <t xml:space="preserve"> 5. Valor remanente en el último año</t>
  </si>
  <si>
    <t xml:space="preserve"> 2. Costos de financiación</t>
  </si>
  <si>
    <t xml:space="preserve"> 3. Pago de préstamos</t>
  </si>
  <si>
    <t xml:space="preserve"> 4. Impuestos </t>
  </si>
  <si>
    <t xml:space="preserve"> 5. Dividendos</t>
  </si>
  <si>
    <t>SALDO ACUMULADO DE EFECTIVO</t>
  </si>
  <si>
    <t>Cuadro 12.26</t>
  </si>
  <si>
    <t>BALANCE PROYECTADO</t>
  </si>
  <si>
    <t>ACTIVOS</t>
  </si>
  <si>
    <t>Activos corrientes</t>
  </si>
  <si>
    <t xml:space="preserve"> 1. Efectivo</t>
  </si>
  <si>
    <t xml:space="preserve"> 3. Inventario de materias primas</t>
  </si>
  <si>
    <t xml:space="preserve"> 4. Inventario productos en proceso</t>
  </si>
  <si>
    <t xml:space="preserve"> 5. Inventario de productos terminados</t>
  </si>
  <si>
    <t xml:space="preserve"> 6. Inventario de repuestos y suministros</t>
  </si>
  <si>
    <t>TOTAL ACTIVOS CORRIENTES</t>
  </si>
  <si>
    <t>ACTIVOS FIJOS</t>
  </si>
  <si>
    <t>NO DEPRECIABLES</t>
  </si>
  <si>
    <t xml:space="preserve"> 7. Terrenos</t>
  </si>
  <si>
    <t>DEPRECIABLES</t>
  </si>
  <si>
    <t xml:space="preserve"> 8. Edificios</t>
  </si>
  <si>
    <t xml:space="preserve"> 9. Maquinaria y equipos</t>
  </si>
  <si>
    <t xml:space="preserve"> 11. Vehículos</t>
  </si>
  <si>
    <t xml:space="preserve"> 12. Herramientas</t>
  </si>
  <si>
    <t>TOTAL ACTIVOS FIJOS</t>
  </si>
  <si>
    <t>ACTIVOS DIFERIDOS</t>
  </si>
  <si>
    <t xml:space="preserve"> 13. Gastos preoperativos</t>
  </si>
  <si>
    <t>TOTAL ACTIVOS DIFERIDOS</t>
  </si>
  <si>
    <t>TOTAL ACTIVOS</t>
  </si>
  <si>
    <t>PASIVO Y PATRIMONIO</t>
  </si>
  <si>
    <t xml:space="preserve">PASIVO  </t>
  </si>
  <si>
    <t xml:space="preserve"> 14. Pasivos corrientes</t>
  </si>
  <si>
    <t xml:space="preserve"> 15. Préstamos a corto, mediana y largo plazo.</t>
  </si>
  <si>
    <t>TOTAL PASIVO</t>
  </si>
  <si>
    <t>PATRIMONIO</t>
  </si>
  <si>
    <t xml:space="preserve"> 16. Capital social</t>
  </si>
  <si>
    <t xml:space="preserve"> 17. Reservas</t>
  </si>
  <si>
    <t>TOTAL PATRIMONIO</t>
  </si>
  <si>
    <t>TOTAL PASIVO Y PATRIMONIO</t>
  </si>
  <si>
    <t>Aporte del capital o capital social acumulado</t>
  </si>
  <si>
    <t>Cuadro 12.27</t>
  </si>
  <si>
    <t>RAZONES E INDICADORES FINANCIEROS</t>
  </si>
  <si>
    <t>Indicador</t>
  </si>
  <si>
    <t>Año 1</t>
  </si>
  <si>
    <t>Año 2</t>
  </si>
  <si>
    <t>Año 3</t>
  </si>
  <si>
    <t>Año 4</t>
  </si>
  <si>
    <t>Año 5</t>
  </si>
  <si>
    <t>Análisis</t>
  </si>
  <si>
    <t>Se conoce también con el nombre de prueba del ácido o liquidez seca. Es un tés más riguroso, el cual pretende verificar la capacidad del proyecto para cancelar sus obligaciones corrientes pero sin depender de la venta de sus existencias, es decir, básicamente con su saldo en efectivo.
Se interpreta diciendo que el proyecto presenta una prueba ácida de 1.90 para el primer año, lo que quiere decir que por cada peso que se debe a corto plazo se cuenta, para su cancelación, con 1.90 pesos en activos corrientes de fácil realización, sin tener que recurrir a la venta de inventarios.</t>
  </si>
  <si>
    <t>Año 6</t>
  </si>
  <si>
    <t>Se interpreta diciendo que el proyecto tendrá una razón corriente de 26,74 para el primer año. Esto quiere decir, que por cada peso que se debe en el corto plazo, se cuenta con aproximadamente 27 pesos para respaldar esa obligación. De igual forma para los años 2,3,4 y 5.</t>
  </si>
  <si>
    <t>Razón y formula</t>
  </si>
  <si>
    <t>Fase</t>
  </si>
  <si>
    <t>Operación</t>
  </si>
  <si>
    <t>El invetario de materia prima rota XXX veces en el año 1 y XX veces en año 2. En otras palabras, este inventario no alcanza a rotar ni siquiera un vez en cada uno de los años; es decir que la materia prima utilizada en el año es menor que el inventario promedio mantenido por el proyecto.</t>
  </si>
  <si>
    <r>
      <t xml:space="preserve">INDICADORES DE ACTIVIDAD
</t>
    </r>
    <r>
      <rPr>
        <sz val="12"/>
        <rFont val="Arial"/>
        <family val="2"/>
      </rPr>
      <t>Estos indicadores llamados también indicadores de rotación, tratan de medir la eficiencia con la cual el proyecto utiliza sus activos, según la velocidad de recuperación de los valores aplicados en ellos. Se pretende imprimirle un sentido dinámico al análisis de la aplicación de recursos, mediante la comparación entre cuentas de balance (estáticas) y cuentas de resultado (dinámicas). Lo anterior surge de un principio elemental en el campo de la finanzas, el cual dice que todos los activos de una empresa deben contribuir al máximo en el logro los objetivos financieros de la misma, de tal suerte que no conviene mantener activos inproductivos o innecesarios.</t>
    </r>
  </si>
  <si>
    <r>
      <rPr>
        <sz val="18"/>
        <rFont val="Arial"/>
        <family val="2"/>
      </rPr>
      <t>LIQUIDEZ</t>
    </r>
    <r>
      <rPr>
        <sz val="10"/>
        <rFont val="Arial"/>
        <family val="2"/>
      </rPr>
      <t xml:space="preserve">
</t>
    </r>
    <r>
      <rPr>
        <sz val="12"/>
        <rFont val="Arial"/>
        <family val="2"/>
      </rPr>
      <t>Estos indicadores miden la capacidad que tiene el proyecto para cancelar sus obligaciones de corto plazo. Sirven para establecer la facilidad o dificultad que presenta una organización para pagar sus pasivos corrientes con el producto de convertir a efectivo sus activos corrientes.</t>
    </r>
  </si>
  <si>
    <t>Los inventarios totales rotaron XXX veces en el año 1 (cada 220 días) y XX veces en el año 2 (cada 173 días). En otras palabras, que las ventas, valoradas al costo, fueron equivalentes a XX veces el inventario promedio en el año 2 y a XX veces el inventario promedio en el año 3.</t>
  </si>
  <si>
    <t>.</t>
  </si>
  <si>
    <t>El inventario de productos terminados rotó XXX veces en el año 2 y XXX veces en el año 3. Es decir que el inventario de productos terminados se vendió totalmente XX veces en el primer año y XX veces en el segundo año</t>
  </si>
  <si>
    <t>Las cuentas por cobrar del proyecto giran XX veces durante el año 1. Es decir que la cantidad de $XXX millones se convirtió a efectivo xxx veces durante este periodo.</t>
  </si>
  <si>
    <t>Durante el año 1 el proyecto pagó las cuentas a sus proveedores, en promedio, cada XXX días.</t>
  </si>
  <si>
    <r>
      <t xml:space="preserve">Endeudamiento
</t>
    </r>
    <r>
      <rPr>
        <sz val="12"/>
        <rFont val="Arial"/>
        <family val="2"/>
      </rPr>
      <t>Estos indicadores llamados también indicadores de rotación, tratan de medir la eficiencia con la cual el proyecto utiliza sus activos, según la velocidad de recuperación de los valores aplicados en ellos. Se pretende imprimirle un sentido dinámico al análisis de la aplicación de recursos, mediante la comparación entre cuentas de balance (estáticas) y cuentas de resultado (dinámicas). Lo anterior surge de un principio elemental en el campo de la finanzas, el cual dice que todos los activos de una empresa deben contribuir al máximo en el logro los objetivos financieros de la misma, de tal suerte que no conviene mantener activos inproductivos o innecesarios.</t>
    </r>
  </si>
  <si>
    <t>INDICADORES DE COSTOS</t>
  </si>
  <si>
    <r>
      <t xml:space="preserve">RENTABILIDAD
</t>
    </r>
    <r>
      <rPr>
        <sz val="12"/>
        <rFont val="Arial"/>
        <family val="2"/>
      </rPr>
      <t>Los indicadores de rendimiento, denominados también de rentabilidad o lucratividad, sirven para medir la efectividad de la administración del proyecto para controlar los costos y gastos y, de esta manera, convertir las ventas en utilidades</t>
    </r>
  </si>
  <si>
    <t>Las ventas del proyecto generan un XX% de utilidad bruta en el año 1 y un xxx% en el año 2. En otras palabras, cada $1 vendido en el año 1 generó XX centavos de utilidad, y cada $1 vendido en el año 2 generó XX centavos de utilidad.</t>
  </si>
  <si>
    <t>La utilidad operacional corresponde a un XX% de las ventas netas en el año 1 y un XX% en el año 2. Esto es, que de cada $1 vendido en el año 1 se reportaron XXX centavos de utilidad operacional y en el año 2 XX centavos.</t>
  </si>
  <si>
    <t>La utilidad neta correspondió a un XXX% de las ventas netas en el año 1. Lo anterior equivale a decir que cada peso (4) vendido generó XX centavos de utilidad neta en el año 1.</t>
  </si>
  <si>
    <t>Las utilidades netas correspondieron al XX% sobre el patrimonio en el año 1. Quiere decir esto que los socios o inversionistas del proyecto obtendrán un rendimiento sobre su inversión de XXX% en el año 1.</t>
  </si>
  <si>
    <t>La utilidad neta, con respecto al activo total, corresponde al XX% en el año 1. O lo que es igual, que cada $1 invertido en activo total generará XX centavos de utilidad neta, en el año 1.</t>
  </si>
  <si>
    <t>El proyecto tarda XX días en recuperar su cartera o cuentas por cobrar comerciales. En otras palabras, que la totalidad de la cartera se convierte a efectivo, en promedio, cada XX días.</t>
  </si>
  <si>
    <t>CALCULO DE COSTOS FIJOS Y COSTOS VARIABLES</t>
  </si>
  <si>
    <t>CUENTAS</t>
  </si>
  <si>
    <t>UNIDADES PRODUCIDAS</t>
  </si>
  <si>
    <t>PRECIO DE VENTA</t>
  </si>
  <si>
    <t>COSTOS VARIABLES</t>
  </si>
  <si>
    <t>TOTAL COSTOS VARIABLES</t>
  </si>
  <si>
    <t>COSTO VARIABLE POR UNIDAD</t>
  </si>
  <si>
    <t>GASTOS FIJOS</t>
  </si>
  <si>
    <t>COSTO FIJO POR UNIDAD</t>
  </si>
  <si>
    <t xml:space="preserve">TOTAL COSTOS </t>
  </si>
  <si>
    <t>COSTO UNITARIO</t>
  </si>
  <si>
    <t>UTILIDAD UNITARIA</t>
  </si>
  <si>
    <t>PORCENTAJE DE UTILIDAD UNITARIA</t>
  </si>
  <si>
    <t>CALCULO DEL PUNTO DE EQUILIBRIO</t>
  </si>
  <si>
    <t xml:space="preserve">VALORES </t>
  </si>
  <si>
    <t>%</t>
  </si>
  <si>
    <t>VENTAS</t>
  </si>
  <si>
    <t>Menos: Costos Variables</t>
  </si>
  <si>
    <t>Igual margen de contribución</t>
  </si>
  <si>
    <t>PUNTO DE EQUIL. EN $</t>
  </si>
  <si>
    <t>PUNTO DE EQUIL.EN UNID.</t>
  </si>
  <si>
    <t>MARGEN DE C.UNITARIA</t>
  </si>
  <si>
    <t>PUNTO DE E. UNIDADES</t>
  </si>
  <si>
    <t>UNIDADES</t>
  </si>
  <si>
    <t>C. FIJOS</t>
  </si>
  <si>
    <t>C.TOTALES</t>
  </si>
  <si>
    <t>AÑO 4</t>
  </si>
  <si>
    <t>AÑO 5</t>
  </si>
  <si>
    <t>AÑO 6</t>
  </si>
  <si>
    <t>NIVEL DE PRODUCCIÓN</t>
  </si>
  <si>
    <t xml:space="preserve">INGRESOS POR VENTAS </t>
  </si>
  <si>
    <t>Gastos generales de administración.</t>
  </si>
  <si>
    <t>Gastos generales en ventas</t>
  </si>
  <si>
    <t>Costos de financiación (intereses)</t>
  </si>
  <si>
    <t>TOTAL COSTOS FIJOS</t>
  </si>
  <si>
    <t>AÑO 3</t>
  </si>
  <si>
    <t>PUNTOS DE LA GRAFICA AÑO 1</t>
  </si>
  <si>
    <t>DATOS GENERALES</t>
  </si>
  <si>
    <t>UNIDADES PRODUCCIDAS:</t>
  </si>
  <si>
    <t>TOTAL COSTOS FIJOS:</t>
  </si>
  <si>
    <t>TOTAL COSTOS VARIABLES:</t>
  </si>
  <si>
    <t>COSTOS TOTALES:</t>
  </si>
  <si>
    <t>UNTILIDAD UNITARIA:</t>
  </si>
  <si>
    <t>PUNTO DE EQUILIBRIO EN UNIDADES</t>
  </si>
  <si>
    <t>PUNTO DE EQUILIBRIO EN PESOS</t>
  </si>
  <si>
    <t>Cuadro 13.2</t>
  </si>
  <si>
    <t>FLUJO DE EFECTIVO NETO</t>
  </si>
  <si>
    <t xml:space="preserve">     Préstamos</t>
  </si>
  <si>
    <t xml:space="preserve">     Ingreso por concepto de ventas</t>
  </si>
  <si>
    <t xml:space="preserve">     Otros ingresos</t>
  </si>
  <si>
    <t xml:space="preserve">     Valor remanente en el último año</t>
  </si>
  <si>
    <t xml:space="preserve">     Inversiones totales</t>
  </si>
  <si>
    <t xml:space="preserve">     Costos de operación, netos de depreciación y amortización de diferidos</t>
  </si>
  <si>
    <t xml:space="preserve">     Costos de financiación</t>
  </si>
  <si>
    <t xml:space="preserve">     Pago préstamos</t>
  </si>
  <si>
    <t xml:space="preserve">     Impuestos</t>
  </si>
  <si>
    <t>AÑO 1</t>
  </si>
  <si>
    <t>AÑO 2</t>
  </si>
  <si>
    <t>FLUJO DE FONDOS NETO</t>
  </si>
  <si>
    <t>FUENTES DE FINANCIACIÓN</t>
  </si>
  <si>
    <t xml:space="preserve">PROPORCIONES </t>
  </si>
  <si>
    <t>TASAS DE INTERÉS</t>
  </si>
  <si>
    <t>Tasa se interés efectiva</t>
  </si>
  <si>
    <t>TASAS PONDERADAS</t>
  </si>
  <si>
    <t>Aporte de los socios</t>
  </si>
  <si>
    <t>Crédito bancario</t>
  </si>
  <si>
    <t>Total inversión</t>
  </si>
  <si>
    <t>RIESGO</t>
  </si>
  <si>
    <t>TREMA</t>
  </si>
  <si>
    <t>INDICADORES DE RENTABILIDAD FLUJO DE FONDOS CON FINANCIACIÓN</t>
  </si>
  <si>
    <t>Detalle</t>
  </si>
  <si>
    <t>Año 0</t>
  </si>
  <si>
    <t>Valor presente neto (VPN)</t>
  </si>
  <si>
    <t>Tasa interna de retorno (TIR)</t>
  </si>
  <si>
    <t>RELACIÓN BENEFICIO COSTO</t>
  </si>
  <si>
    <t>Valor presente de ingresos</t>
  </si>
  <si>
    <t>Valor presente de egresos</t>
  </si>
  <si>
    <t>(B/C)-1</t>
  </si>
  <si>
    <t xml:space="preserve">Costo anual equivalente </t>
  </si>
  <si>
    <t>Valor futuro VF</t>
  </si>
  <si>
    <t>TASA VERDADERA DE RENTABILIDAD</t>
  </si>
  <si>
    <t>Costo anual equivalente de los ingresos</t>
  </si>
  <si>
    <r>
      <t>Valor futuro de ingresos  VF</t>
    </r>
    <r>
      <rPr>
        <vertAlign val="subscript"/>
        <sz val="12"/>
        <rFont val="Arial"/>
        <family val="2"/>
      </rPr>
      <t>i</t>
    </r>
  </si>
  <si>
    <t>Nuevo flujo de fondos</t>
  </si>
  <si>
    <t>TVR</t>
  </si>
  <si>
    <t>SIGNIFICADO DE LA TASA INTERNA DE RETORNO - FLUJO DE FONDOS SIN FINANCIACIÓN</t>
  </si>
  <si>
    <t>Períodos</t>
  </si>
  <si>
    <t>Saldo al incio del período</t>
  </si>
  <si>
    <t>Rentabilidad ganada durante el período</t>
  </si>
  <si>
    <t>Saldo inicial más rentabilidad</t>
  </si>
  <si>
    <t>Retiro al final del período</t>
  </si>
  <si>
    <t>Saldo al final del período</t>
  </si>
  <si>
    <t xml:space="preserve">  0  - 1</t>
  </si>
  <si>
    <t xml:space="preserve">  1  - 2</t>
  </si>
  <si>
    <t xml:space="preserve">  2  - 3</t>
  </si>
  <si>
    <t xml:space="preserve">  3  - 4</t>
  </si>
  <si>
    <t xml:space="preserve">  4  - 5</t>
  </si>
  <si>
    <t>TASA DE INTERES DE OPORTUNIDAD DEFLACTADA</t>
  </si>
  <si>
    <t>TIO</t>
  </si>
  <si>
    <t xml:space="preserve"> 5 - 6</t>
  </si>
  <si>
    <t>GRAFICA DE LA TIR</t>
  </si>
  <si>
    <t>INTERES</t>
  </si>
  <si>
    <t>VPN</t>
  </si>
  <si>
    <t>CALCULO DE LA TIO - COSTO DE CAPITAL</t>
  </si>
  <si>
    <t>INCREMENTOS DEL PASIVO CORRIENTE</t>
  </si>
  <si>
    <t>PRODUCTO: Envase de 473 ml</t>
  </si>
  <si>
    <t>PRODUCTO:Bolsa de 500 ml</t>
  </si>
  <si>
    <t>Unidades vendidas</t>
  </si>
  <si>
    <t xml:space="preserve">Unidades vendidas </t>
  </si>
  <si>
    <t xml:space="preserve">Ingreso por ventas </t>
  </si>
  <si>
    <t>Ingeso por ventas.</t>
  </si>
  <si>
    <t>TOTAL INGRESOS POR VENTAS</t>
  </si>
  <si>
    <t>Equipo de oficina</t>
  </si>
  <si>
    <t>Valor en libros</t>
  </si>
  <si>
    <t>PRESUPUESTO DE MATERIA PRIMA DIRECTA</t>
  </si>
  <si>
    <t>Nombre genérico</t>
  </si>
  <si>
    <t>Unidad de medida</t>
  </si>
  <si>
    <t>A  Ñ  O  1</t>
  </si>
  <si>
    <t>A  Ñ  O  2</t>
  </si>
  <si>
    <t>A  Ñ  O  3</t>
  </si>
  <si>
    <t>A  Ñ  O  4</t>
  </si>
  <si>
    <t>A  Ñ  O  5</t>
  </si>
  <si>
    <t>Cantidad</t>
  </si>
  <si>
    <t>Costo unitario</t>
  </si>
  <si>
    <t>Costo total</t>
  </si>
  <si>
    <t>INSUMOS</t>
  </si>
  <si>
    <t>Agua</t>
  </si>
  <si>
    <r>
      <t>m</t>
    </r>
    <r>
      <rPr>
        <vertAlign val="superscript"/>
        <sz val="11"/>
        <color indexed="8"/>
        <rFont val="Arial"/>
        <family val="2"/>
      </rPr>
      <t>3</t>
    </r>
  </si>
  <si>
    <t xml:space="preserve">Cloruro de sodio </t>
  </si>
  <si>
    <t>kg</t>
  </si>
  <si>
    <t xml:space="preserve">Citrato Trisódico </t>
  </si>
  <si>
    <t xml:space="preserve">Fosfato Di-potásico </t>
  </si>
  <si>
    <t>Sacarosa</t>
  </si>
  <si>
    <t xml:space="preserve">Frutuosa </t>
  </si>
  <si>
    <t>Ácido Cítrico</t>
  </si>
  <si>
    <t>SUBTOTAL INSUMOS</t>
  </si>
  <si>
    <t>SABORIZANTES</t>
  </si>
  <si>
    <t>Sabor mandarina</t>
  </si>
  <si>
    <t>Sabor limón</t>
  </si>
  <si>
    <t>Sabor Fresa</t>
  </si>
  <si>
    <t>Sabor manzana</t>
  </si>
  <si>
    <t>Sabor naranja</t>
  </si>
  <si>
    <t>Sabor mango</t>
  </si>
  <si>
    <t>SUBTOTAL SABORIZANTES</t>
  </si>
  <si>
    <t>COLORANTES</t>
  </si>
  <si>
    <t>Color limón</t>
  </si>
  <si>
    <t>Color Mandarina</t>
  </si>
  <si>
    <t>Color Mango</t>
  </si>
  <si>
    <t>Color manzana</t>
  </si>
  <si>
    <t>Color fresa</t>
  </si>
  <si>
    <t>Color Naranja</t>
  </si>
  <si>
    <t>SUBTOTAL COLORANTES</t>
  </si>
  <si>
    <t>TOTAL DE INSUMOS Y COLORANTES</t>
  </si>
  <si>
    <t>EMPAQUES</t>
  </si>
  <si>
    <t>Envse plástico 473 ml</t>
  </si>
  <si>
    <t>Unidad</t>
  </si>
  <si>
    <t xml:space="preserve">Bolsa  plástica de 500 ml </t>
  </si>
  <si>
    <t>Bolsa plásticas de 300 ml</t>
  </si>
  <si>
    <t xml:space="preserve">Etiqueta </t>
  </si>
  <si>
    <t>Empaque Bolsa de 500 ml</t>
  </si>
  <si>
    <t>Empaque Bolsa de 300 ml</t>
  </si>
  <si>
    <t>Caja empaque de envase</t>
  </si>
  <si>
    <t>Plástico caja de empaque</t>
  </si>
  <si>
    <t>SUBTOTAL EMPAQUES</t>
  </si>
  <si>
    <t>TOTAL DE MATERIA PRIMA DIRECTA</t>
  </si>
  <si>
    <t>TOTAL UNIDADES PRODUCCIDAS</t>
  </si>
  <si>
    <t>NÓMINA ÁREA DE PRODUCCIÓN</t>
  </si>
  <si>
    <t>Cargo</t>
  </si>
  <si>
    <t>Salario básico</t>
  </si>
  <si>
    <t>Auxilio de transporte</t>
  </si>
  <si>
    <t>Total devengado</t>
  </si>
  <si>
    <t>Cesantías</t>
  </si>
  <si>
    <t>Intereses sobre cesantías</t>
  </si>
  <si>
    <t>Prima de servicios</t>
  </si>
  <si>
    <t>Vacaciones</t>
  </si>
  <si>
    <t>Aportes parafiscales</t>
  </si>
  <si>
    <t>Pensión</t>
  </si>
  <si>
    <t>Salud</t>
  </si>
  <si>
    <t>Riesgos profesionales</t>
  </si>
  <si>
    <t>Total nómina mensual</t>
  </si>
  <si>
    <t>Total nómina anual</t>
  </si>
  <si>
    <t>Factores</t>
  </si>
  <si>
    <t>Operario 1</t>
  </si>
  <si>
    <t>Operario 2</t>
  </si>
  <si>
    <t>TOTALES</t>
  </si>
  <si>
    <t>GASTOS DE DOTACIÓN AREA DE PRODUCCIÓN</t>
  </si>
  <si>
    <t>Valor unitario</t>
  </si>
  <si>
    <t>Costos total</t>
  </si>
  <si>
    <t>Overoles</t>
  </si>
  <si>
    <t>Tapabocas</t>
  </si>
  <si>
    <t>Guantes</t>
  </si>
  <si>
    <t>Botas</t>
  </si>
  <si>
    <t>Unidades produccidas</t>
  </si>
  <si>
    <t>TOTAL COSTO DE M.0.</t>
  </si>
  <si>
    <t xml:space="preserve">Servicio públicos </t>
  </si>
  <si>
    <t>Mantenimiento</t>
  </si>
  <si>
    <t>Gastos de arrendamientos</t>
  </si>
  <si>
    <t>SUBTOTAL COSTOS INDIRECTOS</t>
  </si>
  <si>
    <t>GASTOS GENERALES DE FABRICACIÓN</t>
  </si>
  <si>
    <t>DETALLE</t>
  </si>
  <si>
    <t>TOTAL GASTOS GENERALES DE FABRICACIÓN</t>
  </si>
  <si>
    <t>TOTAL COSTO DE MATERIA PRIMA</t>
  </si>
  <si>
    <t>UNIDADES PRODUCCIDAS.</t>
  </si>
  <si>
    <t>GASTOS DE ADMINISTRACIÓN</t>
  </si>
  <si>
    <t>Nómina</t>
  </si>
  <si>
    <t>Gastos de dotación</t>
  </si>
  <si>
    <t>Honorarios</t>
  </si>
  <si>
    <t xml:space="preserve">Gastos de arrendamiento </t>
  </si>
  <si>
    <t>Impuesto de cámara de comercio</t>
  </si>
  <si>
    <t>Útiles y papelería</t>
  </si>
  <si>
    <t>Servicio de alarma</t>
  </si>
  <si>
    <t>Implementos de aseo</t>
  </si>
  <si>
    <t>SUBTOTAL GASTOS DE ADMINISTRACIÓN</t>
  </si>
  <si>
    <t>GASTOS EN VENTAS</t>
  </si>
  <si>
    <t>Comisión de dos vendedores</t>
  </si>
  <si>
    <t>Gastos de transporte</t>
  </si>
  <si>
    <t>Gastos de publicidad</t>
  </si>
  <si>
    <t>Gastos de promoción</t>
  </si>
  <si>
    <t>SUBTOTAL GASTOS EN VENTAS</t>
  </si>
  <si>
    <t>NÓMINA ÁREA DE ADMINISTRACIÓN</t>
  </si>
  <si>
    <t>Gerente</t>
  </si>
  <si>
    <t>Secretaria</t>
  </si>
  <si>
    <t>GASTOS DE DOTACIÓN AREA ADMINISTRATIVA</t>
  </si>
  <si>
    <t>DOTACIÓN</t>
  </si>
  <si>
    <t>A Ñ O 1</t>
  </si>
  <si>
    <t>Uniforme sec.</t>
  </si>
  <si>
    <t>Zapatos sec.</t>
  </si>
  <si>
    <t>NÓMINA ÁREA DE VENTAS</t>
  </si>
  <si>
    <t>Subgerente de ventas</t>
  </si>
  <si>
    <t>GASTOS DE DOTACIÓN AREA  DE VENTAS</t>
  </si>
  <si>
    <t>COMISIÓN EN VENTAS</t>
  </si>
  <si>
    <t>RESUMEN DE GASTOS DE ADMINISTRACIÓN, VENTAS Y DISTRIBUCIÓN</t>
  </si>
  <si>
    <t>GASTOS DE PUBLICIDAD</t>
  </si>
  <si>
    <t>MEDIO</t>
  </si>
  <si>
    <t>A Ñ O  1</t>
  </si>
  <si>
    <t>CANTIDAD</t>
  </si>
  <si>
    <t>COSTO TOTAL</t>
  </si>
  <si>
    <t>Radio</t>
  </si>
  <si>
    <t>Prensa</t>
  </si>
  <si>
    <t>Televisión</t>
  </si>
  <si>
    <t>PRESUPUESTO DE PROMOCIÓN EN VENTAS</t>
  </si>
  <si>
    <t>Concepto</t>
  </si>
  <si>
    <t>Valor Unitario</t>
  </si>
  <si>
    <t>Maletines</t>
  </si>
  <si>
    <t>Biscicleteros</t>
  </si>
  <si>
    <t>Bolso Canguro</t>
  </si>
  <si>
    <t>Llaveros</t>
  </si>
  <si>
    <t>PROMOCIÓN BEBIDAS</t>
  </si>
  <si>
    <t>Envase 473 ml</t>
  </si>
  <si>
    <t>Bolsa 500 ml</t>
  </si>
  <si>
    <t>Bolsa 300 ml</t>
  </si>
  <si>
    <t>DEGUSTACIÓN</t>
  </si>
  <si>
    <t>OBSEQUIO DE BEBIDAS</t>
  </si>
  <si>
    <t>GASTOS GENERALES DE DISTRIBUCIÓN</t>
  </si>
  <si>
    <t>SUBTOTAL GASTOS DE DISTRIBUCIÓN</t>
  </si>
  <si>
    <t xml:space="preserve">     Equipo de oficina</t>
  </si>
  <si>
    <t>Menos impuesto de renta (35%)</t>
  </si>
  <si>
    <t>Menos impuesto de renta 35%</t>
  </si>
  <si>
    <t xml:space="preserve"> 10. Equipo de oficina</t>
  </si>
  <si>
    <t xml:space="preserve">A Ñ O 2 </t>
  </si>
  <si>
    <t>Artículo</t>
  </si>
  <si>
    <t>Cant.</t>
  </si>
  <si>
    <t>Valor total</t>
  </si>
  <si>
    <t>Vida útil</t>
  </si>
  <si>
    <t>Filtros Ametek 1/2 pulgada.</t>
  </si>
  <si>
    <t>Planta de Ozono.</t>
  </si>
  <si>
    <t>Esterilizador de bolsa y envase en acero quirúrgico.</t>
  </si>
  <si>
    <t>Tanque de almacenamiento con tapa.</t>
  </si>
  <si>
    <t>Aspa con bandeja de acero inoxidable.</t>
  </si>
  <si>
    <t>Mesa con bandeja de acero de 0,75 m por 1,20 m.</t>
  </si>
  <si>
    <t>Selladora de bolsa plástica.</t>
  </si>
  <si>
    <t>Mesa para selladora.</t>
  </si>
  <si>
    <t>Motor de HP.</t>
  </si>
  <si>
    <t>Brazo del motor.</t>
  </si>
  <si>
    <t>Estibas de madera.</t>
  </si>
  <si>
    <t>Un metro de tubería en acero inoxidable 1/2".</t>
  </si>
  <si>
    <t>Balanza electrónica.</t>
  </si>
  <si>
    <t>Estantería metálica.</t>
  </si>
  <si>
    <t>Canastillas plásticas.</t>
  </si>
  <si>
    <t>Escalera metálica portátil.</t>
  </si>
  <si>
    <t>Dispensador de líquidos.</t>
  </si>
  <si>
    <t>Móvil (carreta)</t>
  </si>
  <si>
    <t>Selladora de tapa.</t>
  </si>
  <si>
    <t>Secador de manos eléctrico.</t>
  </si>
  <si>
    <t>Dispensador de jabón.</t>
  </si>
  <si>
    <t>Casillero de cuatro cajones.</t>
  </si>
  <si>
    <t>Valor</t>
  </si>
  <si>
    <t xml:space="preserve"> unitario</t>
  </si>
  <si>
    <t xml:space="preserve">Valor </t>
  </si>
  <si>
    <t>total</t>
  </si>
  <si>
    <t xml:space="preserve">Vida </t>
  </si>
  <si>
    <t>útil</t>
  </si>
  <si>
    <t>Escritorios sencillos.</t>
  </si>
  <si>
    <t>Sillas Rimax.</t>
  </si>
  <si>
    <t>Sillas para escritorio.</t>
  </si>
  <si>
    <t>Computador – dtk.</t>
  </si>
  <si>
    <t>Impresora de matriz de puntos.</t>
  </si>
  <si>
    <t>Módulo de recepción.</t>
  </si>
  <si>
    <t>5 </t>
  </si>
  <si>
    <t>Sumadora Truly sencilla.</t>
  </si>
  <si>
    <t>Software Office y Windows.</t>
  </si>
  <si>
    <t>Teléfonos.</t>
  </si>
  <si>
    <t>Fax Pannasonic.</t>
  </si>
  <si>
    <t>Papelera doble.</t>
  </si>
  <si>
    <t>Caneca de basura.</t>
  </si>
  <si>
    <t>Archivador de madera.</t>
  </si>
  <si>
    <t>Estabilizador de energía.</t>
  </si>
  <si>
    <t>Basureras pequeñas.</t>
  </si>
  <si>
    <t>Grapadoras medianas.</t>
  </si>
  <si>
    <t>Saca – ganchos.</t>
  </si>
  <si>
    <t>Extintor de incendios tipo ABC</t>
  </si>
  <si>
    <t>Inversión en maquinaria y equipo.</t>
  </si>
  <si>
    <t>Inversión en equipo de oficina.</t>
  </si>
  <si>
    <t>CONCEPTO</t>
  </si>
  <si>
    <t>(En pesos)</t>
  </si>
  <si>
    <t>GASTOS PRE-OPERATIVOS</t>
  </si>
  <si>
    <t>Estudio de factibilidad.</t>
  </si>
  <si>
    <t>Contratación de personal.</t>
  </si>
  <si>
    <t>Capacitación de personal.</t>
  </si>
  <si>
    <t>Experimentación del producto.</t>
  </si>
  <si>
    <t>Análisis de laboratorio.</t>
  </si>
  <si>
    <t>SUBTOTAL GASTOS PRE-OPERATIVOS.</t>
  </si>
  <si>
    <t>ADECUACIÓN LOCATIVAS.</t>
  </si>
  <si>
    <t>Instalaciones eléctricas.</t>
  </si>
  <si>
    <t>Construcción de plancha para tanque de almacenamiento.</t>
  </si>
  <si>
    <t>Instalaciones para recepción del agua.</t>
  </si>
  <si>
    <t>División para oficina.</t>
  </si>
  <si>
    <t>Red telefónica.</t>
  </si>
  <si>
    <t>Curvatura de unión del piso con la pared.</t>
  </si>
  <si>
    <t>SUBTOTAL ADECUACIONES LOCATIVAS.</t>
  </si>
  <si>
    <t>GASTOS DE CONSTITUCIÓN.</t>
  </si>
  <si>
    <t xml:space="preserve">Escritura pública. </t>
  </si>
  <si>
    <t>Registro en la oficina de instrumentos públicos.</t>
  </si>
  <si>
    <t>Permiso de uso de suelos.</t>
  </si>
  <si>
    <t>Registro sanitario (INVIMA)</t>
  </si>
  <si>
    <t>Instalaciones de equipos de producción.</t>
  </si>
  <si>
    <t>SUBTOTAL GASTOS DE CONSTITUCIÓN.</t>
  </si>
  <si>
    <t>TOTAL INVERSIÓN EN ACTIVOS INTANGIBLES.</t>
  </si>
  <si>
    <t>Inversión en activos intangibles.</t>
  </si>
  <si>
    <t>PRODUCTO:Bolsa de 300 ml</t>
  </si>
  <si>
    <t>AÑLO 3</t>
  </si>
  <si>
    <t>% de variación</t>
  </si>
  <si>
    <t>ANÁLISIS DE SENSIBILIDAD</t>
  </si>
  <si>
    <t>TIR</t>
  </si>
  <si>
    <t>B/C</t>
  </si>
  <si>
    <t>TUR</t>
  </si>
  <si>
    <t>PE. EN PESOS</t>
  </si>
  <si>
    <t>PE EN UNIDADES</t>
  </si>
  <si>
    <t>PORCENTAJE DE DISMINUCIÓN DEL PRECIO</t>
  </si>
  <si>
    <t>AÑ0 1</t>
  </si>
  <si>
    <t>PRODUCTO 1</t>
  </si>
  <si>
    <t>PRODUCTO 2</t>
  </si>
  <si>
    <t>PRODUCTO 3</t>
  </si>
  <si>
    <t>DATOS DE ESTADO PERDIDAS Y GANANCIAS</t>
  </si>
  <si>
    <t>UTILIDAD</t>
  </si>
  <si>
    <t>LIQUEZ</t>
  </si>
  <si>
    <t>RENTABILIDAD</t>
  </si>
  <si>
    <t xml:space="preserve">ANÁLISIS DE SENSIBILIDAD </t>
  </si>
  <si>
    <t>DATOS GRAFICA</t>
  </si>
  <si>
    <t>i</t>
  </si>
  <si>
    <t>ANALISIS SE SENSIBILIDAD CON LA VARIABLE PRECIO DE VENTA</t>
  </si>
  <si>
    <t>% DE VARIACIÓN DEL PRECIO:</t>
  </si>
  <si>
    <t>DATOS GENERALES PARA ANÁLISIS</t>
  </si>
  <si>
    <t>PRECIO  DE VENTA</t>
  </si>
  <si>
    <t>Bolsa de 500 ml</t>
  </si>
  <si>
    <t>Bolsa de 300 ml</t>
  </si>
  <si>
    <t>DATOS INICIAL</t>
  </si>
  <si>
    <t>DATOS A QUE SE PUEDE REDUCIR</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</si>
</sst>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 #,##0_);[Red]\(&quot;$&quot;\ #,##0\)"/>
    <numFmt numFmtId="8" formatCode="&quot;$&quot;\ #,##0.00_);[Red]\(&quot;$&quot;\ #,##0.00\)"/>
    <numFmt numFmtId="44" formatCode="_(&quot;$&quot;\ * #,##0.00_);_(&quot;$&quot;\ * \(#,##0.00\);_(&quot;$&quot;\ * &quot;-&quot;??_);_(@_)"/>
    <numFmt numFmtId="43" formatCode="_(* #,##0.00_);_(* \(#,##0.00\);_(* &quot;-&quot;??_);_(@_)"/>
    <numFmt numFmtId="164" formatCode="0.000"/>
    <numFmt numFmtId="165" formatCode="#,##0.000"/>
    <numFmt numFmtId="166" formatCode="0.000%"/>
    <numFmt numFmtId="167" formatCode="0.0000%"/>
    <numFmt numFmtId="168" formatCode="#,##0_ ;[Red]\-#,##0\ "/>
    <numFmt numFmtId="169" formatCode="_ * #,##0_ ;_ * \-#,##0_ ;_ * &quot;-&quot;??_ ;_ @_ "/>
    <numFmt numFmtId="170" formatCode="#,##0.0"/>
    <numFmt numFmtId="171" formatCode="_ * #,##0.00_ ;_ * \-#,##0.00_ ;_ * &quot;-&quot;??_ ;_ @_ "/>
    <numFmt numFmtId="172" formatCode="_ * #,##0.000_ ;_ * \-#,##0.000_ ;_ * &quot;-&quot;??_ ;_ @_ "/>
    <numFmt numFmtId="173" formatCode="_ * #,##0_ ;_ * \-#,##0_ ;_ * &quot;-&quot;???_ ;_ @_ "/>
    <numFmt numFmtId="174" formatCode="_ * #,##0.000_ ;_ * \-#,##0.000_ ;_ * &quot;-&quot;???_ ;_ @_ "/>
    <numFmt numFmtId="175" formatCode="_ * #,##0.0000_ ;_ * \-#,##0.0000_ ;_ * &quot;-&quot;???_ ;_ @_ "/>
    <numFmt numFmtId="176" formatCode="_ * #,##0_ ;_ * \-#,##0_ ;_ * &quot;-&quot;????_ ;_ @_ "/>
    <numFmt numFmtId="177" formatCode="_ * #,##0.000_ ;_ * \-#,##0.000_ ;_ * &quot;-&quot;????_ ;_ @_ "/>
    <numFmt numFmtId="178" formatCode="_(&quot;$&quot;\ * #,##0_);_(&quot;$&quot;\ * \(#,##0\);_(&quot;$&quot;\ * &quot;-&quot;??_);_(@_)"/>
  </numFmts>
  <fonts count="53" x14ac:knownFonts="1">
    <font>
      <sz val="12"/>
      <color theme="1"/>
      <name val="Arial"/>
      <family val="2"/>
    </font>
    <font>
      <b/>
      <sz val="12"/>
      <color theme="1"/>
      <name val="Arial"/>
      <family val="2"/>
    </font>
    <font>
      <sz val="10"/>
      <color theme="1"/>
      <name val="Arial"/>
      <family val="2"/>
    </font>
    <font>
      <b/>
      <sz val="12"/>
      <color rgb="FFFF0000"/>
      <name val="Arial"/>
      <family val="2"/>
    </font>
    <font>
      <b/>
      <sz val="12"/>
      <name val="Arial"/>
      <family val="2"/>
    </font>
    <font>
      <sz val="12"/>
      <name val="Arial"/>
      <family val="2"/>
    </font>
    <font>
      <sz val="20"/>
      <name val="Arial"/>
      <family val="2"/>
    </font>
    <font>
      <sz val="18"/>
      <name val="Arial"/>
      <family val="2"/>
    </font>
    <font>
      <sz val="16"/>
      <name val="Arial"/>
      <family val="2"/>
    </font>
    <font>
      <sz val="10"/>
      <name val="Arial"/>
      <family val="2"/>
    </font>
    <font>
      <sz val="14"/>
      <name val="Arial"/>
      <family val="2"/>
    </font>
    <font>
      <sz val="11"/>
      <name val="Arial"/>
      <family val="2"/>
    </font>
    <font>
      <sz val="12"/>
      <color theme="1"/>
      <name val="Arial"/>
      <family val="2"/>
    </font>
    <font>
      <b/>
      <sz val="12"/>
      <color theme="0"/>
      <name val="Arial"/>
      <family val="2"/>
    </font>
    <font>
      <sz val="8"/>
      <name val="Arial"/>
      <family val="2"/>
    </font>
    <font>
      <sz val="18"/>
      <color theme="0" tint="-0.14999847407452621"/>
      <name val="Arial"/>
      <family val="2"/>
    </font>
    <font>
      <sz val="14"/>
      <color theme="0" tint="-0.14999847407452621"/>
      <name val="Arial"/>
      <family val="2"/>
    </font>
    <font>
      <sz val="12"/>
      <color theme="0" tint="-0.14999847407452621"/>
      <name val="Arial"/>
      <family val="2"/>
    </font>
    <font>
      <sz val="12"/>
      <color indexed="8"/>
      <name val="Arial"/>
      <family val="2"/>
    </font>
    <font>
      <sz val="10"/>
      <color indexed="8"/>
      <name val="Arial"/>
      <family val="2"/>
    </font>
    <font>
      <b/>
      <sz val="12"/>
      <color rgb="FF0070C0"/>
      <name val="Arial"/>
      <family val="2"/>
    </font>
    <font>
      <b/>
      <sz val="16"/>
      <color theme="0"/>
      <name val="Arial"/>
      <family val="2"/>
    </font>
    <font>
      <sz val="12"/>
      <color rgb="FFFF0000"/>
      <name val="Arial"/>
      <family val="2"/>
    </font>
    <font>
      <b/>
      <sz val="10"/>
      <name val="Arial"/>
      <family val="2"/>
    </font>
    <font>
      <vertAlign val="subscript"/>
      <sz val="12"/>
      <name val="Arial"/>
      <family val="2"/>
    </font>
    <font>
      <b/>
      <sz val="20"/>
      <name val="Arial"/>
      <family val="2"/>
    </font>
    <font>
      <b/>
      <sz val="12"/>
      <color theme="3" tint="0.39997558519241921"/>
      <name val="Arial"/>
      <family val="2"/>
    </font>
    <font>
      <sz val="18"/>
      <color indexed="8"/>
      <name val="Arial"/>
      <family val="2"/>
    </font>
    <font>
      <b/>
      <sz val="14"/>
      <color indexed="8"/>
      <name val="Arial"/>
      <family val="2"/>
    </font>
    <font>
      <sz val="8"/>
      <color indexed="8"/>
      <name val="Arial"/>
      <family val="2"/>
    </font>
    <font>
      <b/>
      <sz val="11"/>
      <color indexed="8"/>
      <name val="Arial"/>
      <family val="2"/>
    </font>
    <font>
      <sz val="11"/>
      <color indexed="8"/>
      <name val="Arial"/>
      <family val="2"/>
    </font>
    <font>
      <vertAlign val="superscript"/>
      <sz val="11"/>
      <color indexed="8"/>
      <name val="Arial"/>
      <family val="2"/>
    </font>
    <font>
      <b/>
      <sz val="11"/>
      <color theme="3" tint="0.39997558519241921"/>
      <name val="Arial"/>
      <family val="2"/>
    </font>
    <font>
      <b/>
      <sz val="11"/>
      <color rgb="FFFF0000"/>
      <name val="Arial"/>
      <family val="2"/>
    </font>
    <font>
      <sz val="16"/>
      <color indexed="8"/>
      <name val="Arial"/>
      <family val="2"/>
    </font>
    <font>
      <b/>
      <sz val="11"/>
      <name val="Arial"/>
      <family val="2"/>
    </font>
    <font>
      <b/>
      <sz val="12"/>
      <color indexed="8"/>
      <name val="Arial"/>
      <family val="2"/>
    </font>
    <font>
      <sz val="14"/>
      <color indexed="8"/>
      <name val="Arial"/>
      <family val="2"/>
    </font>
    <font>
      <sz val="12"/>
      <color theme="0" tint="-0.249977111117893"/>
      <name val="Arial"/>
      <family val="2"/>
    </font>
    <font>
      <sz val="12"/>
      <color theme="1"/>
      <name val="Times New Roman"/>
      <family val="1"/>
    </font>
    <font>
      <b/>
      <sz val="12"/>
      <color theme="1"/>
      <name val="Times New Roman"/>
      <family val="1"/>
    </font>
    <font>
      <b/>
      <sz val="14"/>
      <name val="Arial"/>
      <family val="2"/>
    </font>
    <font>
      <b/>
      <sz val="14"/>
      <color theme="1"/>
      <name val="Times New Roman"/>
      <family val="1"/>
    </font>
    <font>
      <b/>
      <sz val="20"/>
      <color rgb="FFFF0000"/>
      <name val="Arial"/>
      <family val="2"/>
    </font>
    <font>
      <sz val="12"/>
      <color theme="0"/>
      <name val="Arial"/>
      <family val="2"/>
    </font>
    <font>
      <sz val="16"/>
      <color theme="0"/>
      <name val="Arial"/>
      <family val="2"/>
    </font>
    <font>
      <sz val="14"/>
      <color theme="0"/>
      <name val="Arial"/>
      <family val="2"/>
    </font>
    <font>
      <sz val="14"/>
      <color theme="1"/>
      <name val="Arial"/>
      <family val="2"/>
    </font>
    <font>
      <b/>
      <sz val="20"/>
      <color theme="0"/>
      <name val="Arial"/>
      <family val="2"/>
    </font>
    <font>
      <b/>
      <sz val="14"/>
      <color theme="0"/>
      <name val="Arial"/>
      <family val="2"/>
    </font>
    <font>
      <b/>
      <sz val="18"/>
      <color theme="0"/>
      <name val="Arial"/>
      <family val="2"/>
    </font>
    <font>
      <sz val="18"/>
      <color theme="0"/>
      <name val="Arial"/>
      <family val="2"/>
    </font>
  </fonts>
  <fills count="9">
    <fill>
      <patternFill patternType="none"/>
    </fill>
    <fill>
      <patternFill patternType="gray125"/>
    </fill>
    <fill>
      <patternFill patternType="solid">
        <fgColor theme="0" tint="-0.14999847407452621"/>
        <bgColor indexed="64"/>
      </patternFill>
    </fill>
    <fill>
      <gradientFill degree="90">
        <stop position="0">
          <color theme="4" tint="0.40000610370189521"/>
        </stop>
        <stop position="0.5">
          <color theme="3"/>
        </stop>
        <stop position="1">
          <color theme="4" tint="0.40000610370189521"/>
        </stop>
      </gradientFill>
    </fill>
    <fill>
      <gradientFill type="path" left="0.5" right="0.5" top="0.5" bottom="0.5">
        <stop position="0">
          <color theme="0"/>
        </stop>
        <stop position="1">
          <color theme="0" tint="-0.1490218817712943"/>
        </stop>
      </gradientFill>
    </fill>
    <fill>
      <patternFill patternType="solid">
        <fgColor theme="3" tint="-0.249977111117893"/>
        <bgColor indexed="64"/>
      </patternFill>
    </fill>
    <fill>
      <gradientFill degree="90">
        <stop position="0">
          <color theme="3" tint="0.40000610370189521"/>
        </stop>
        <stop position="0.5">
          <color theme="3" tint="-0.25098422193060094"/>
        </stop>
        <stop position="1">
          <color theme="3" tint="0.40000610370189521"/>
        </stop>
      </gradientFill>
    </fill>
    <fill>
      <patternFill patternType="solid">
        <fgColor rgb="FFC00000"/>
        <bgColor indexed="64"/>
      </patternFill>
    </fill>
    <fill>
      <patternFill patternType="solid">
        <fgColor rgb="FFFF0000"/>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style="thick">
        <color theme="3" tint="0.39994506668294322"/>
      </left>
      <right/>
      <top style="thick">
        <color theme="3" tint="0.39994506668294322"/>
      </top>
      <bottom/>
      <diagonal/>
    </border>
    <border>
      <left/>
      <right/>
      <top style="thick">
        <color theme="3" tint="0.39994506668294322"/>
      </top>
      <bottom/>
      <diagonal/>
    </border>
    <border>
      <left/>
      <right style="thick">
        <color theme="3" tint="0.39994506668294322"/>
      </right>
      <top style="thick">
        <color theme="3" tint="0.39994506668294322"/>
      </top>
      <bottom/>
      <diagonal/>
    </border>
    <border>
      <left style="thick">
        <color theme="3" tint="0.39994506668294322"/>
      </left>
      <right/>
      <top/>
      <bottom/>
      <diagonal/>
    </border>
    <border>
      <left/>
      <right style="thick">
        <color theme="3" tint="0.39994506668294322"/>
      </right>
      <top/>
      <bottom/>
      <diagonal/>
    </border>
    <border>
      <left style="thick">
        <color theme="3" tint="0.39994506668294322"/>
      </left>
      <right/>
      <top/>
      <bottom style="thick">
        <color theme="3" tint="0.39994506668294322"/>
      </bottom>
      <diagonal/>
    </border>
    <border>
      <left/>
      <right/>
      <top/>
      <bottom style="thick">
        <color theme="3" tint="0.39994506668294322"/>
      </bottom>
      <diagonal/>
    </border>
    <border>
      <left/>
      <right style="thick">
        <color theme="3" tint="0.39994506668294322"/>
      </right>
      <top/>
      <bottom style="thick">
        <color theme="3" tint="0.39994506668294322"/>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theme="0"/>
      </right>
      <top style="thin">
        <color indexed="64"/>
      </top>
      <bottom style="thick">
        <color theme="0"/>
      </bottom>
      <diagonal/>
    </border>
    <border>
      <left style="thick">
        <color theme="0"/>
      </left>
      <right style="thick">
        <color theme="0"/>
      </right>
      <top style="thin">
        <color indexed="64"/>
      </top>
      <bottom style="thick">
        <color theme="0"/>
      </bottom>
      <diagonal/>
    </border>
    <border>
      <left style="thick">
        <color theme="0"/>
      </left>
      <right style="thin">
        <color indexed="64"/>
      </right>
      <top style="thin">
        <color indexed="64"/>
      </top>
      <bottom style="thick">
        <color theme="0"/>
      </bottom>
      <diagonal/>
    </border>
    <border>
      <left style="thin">
        <color indexed="64"/>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style="thick">
        <color theme="0"/>
      </right>
      <top style="thick">
        <color theme="0"/>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n">
        <color indexed="64"/>
      </right>
      <top style="thick">
        <color theme="0"/>
      </top>
      <bottom style="thin">
        <color indexed="64"/>
      </bottom>
      <diagonal/>
    </border>
    <border>
      <left/>
      <right style="thick">
        <color theme="0"/>
      </right>
      <top style="thin">
        <color indexed="64"/>
      </top>
      <bottom style="thick">
        <color theme="0"/>
      </bottom>
      <diagonal/>
    </border>
    <border>
      <left style="thick">
        <color theme="0"/>
      </left>
      <right/>
      <top style="thin">
        <color indexed="64"/>
      </top>
      <bottom style="thick">
        <color theme="0"/>
      </bottom>
      <diagonal/>
    </border>
    <border>
      <left style="thick">
        <color auto="1"/>
      </left>
      <right style="thick">
        <color theme="0"/>
      </right>
      <top style="thick">
        <color auto="1"/>
      </top>
      <bottom style="thick">
        <color theme="0"/>
      </bottom>
      <diagonal/>
    </border>
    <border>
      <left style="thick">
        <color theme="0"/>
      </left>
      <right style="thick">
        <color auto="1"/>
      </right>
      <top style="thick">
        <color auto="1"/>
      </top>
      <bottom style="thick">
        <color theme="0"/>
      </bottom>
      <diagonal/>
    </border>
    <border>
      <left style="thick">
        <color auto="1"/>
      </left>
      <right style="thick">
        <color theme="0"/>
      </right>
      <top style="thick">
        <color theme="0"/>
      </top>
      <bottom style="thick">
        <color theme="0"/>
      </bottom>
      <diagonal/>
    </border>
    <border>
      <left style="thick">
        <color theme="0"/>
      </left>
      <right style="thick">
        <color auto="1"/>
      </right>
      <top style="thick">
        <color theme="0"/>
      </top>
      <bottom style="thick">
        <color theme="0"/>
      </bottom>
      <diagonal/>
    </border>
    <border>
      <left style="thick">
        <color auto="1"/>
      </left>
      <right style="thick">
        <color theme="0"/>
      </right>
      <top style="thick">
        <color theme="0"/>
      </top>
      <bottom style="thick">
        <color auto="1"/>
      </bottom>
      <diagonal/>
    </border>
    <border>
      <left style="thick">
        <color theme="0"/>
      </left>
      <right style="thick">
        <color auto="1"/>
      </right>
      <top style="thick">
        <color theme="0"/>
      </top>
      <bottom style="thick">
        <color auto="1"/>
      </bottom>
      <diagonal/>
    </border>
  </borders>
  <cellStyleXfs count="4">
    <xf numFmtId="0" fontId="0" fillId="0" borderId="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471">
    <xf numFmtId="0" fontId="0" fillId="0" borderId="0" xfId="0"/>
    <xf numFmtId="0" fontId="0" fillId="0" borderId="0" xfId="0" applyAlignment="1">
      <alignment horizontal="center"/>
    </xf>
    <xf numFmtId="9" fontId="0" fillId="0" borderId="0" xfId="0" applyNumberFormat="1"/>
    <xf numFmtId="2" fontId="0" fillId="0" borderId="0" xfId="0" applyNumberFormat="1"/>
    <xf numFmtId="1" fontId="0" fillId="0" borderId="0" xfId="0" applyNumberFormat="1"/>
    <xf numFmtId="3" fontId="0" fillId="0" borderId="0" xfId="0" applyNumberFormat="1"/>
    <xf numFmtId="0" fontId="0" fillId="0" borderId="1" xfId="0" applyBorder="1"/>
    <xf numFmtId="0" fontId="0" fillId="0" borderId="2" xfId="0" applyBorder="1"/>
    <xf numFmtId="0" fontId="0" fillId="0" borderId="0" xfId="0" applyFill="1" applyBorder="1"/>
    <xf numFmtId="0" fontId="0" fillId="0" borderId="2" xfId="0" applyFill="1" applyBorder="1"/>
    <xf numFmtId="9" fontId="0" fillId="0" borderId="1" xfId="0" applyNumberFormat="1" applyBorder="1"/>
    <xf numFmtId="0" fontId="0" fillId="0" borderId="2" xfId="0" applyBorder="1" applyAlignment="1">
      <alignment horizontal="center"/>
    </xf>
    <xf numFmtId="0" fontId="0" fillId="0" borderId="1" xfId="0" applyFill="1" applyBorder="1"/>
    <xf numFmtId="1" fontId="0" fillId="0" borderId="0" xfId="0" applyNumberFormat="1" applyFont="1"/>
    <xf numFmtId="0" fontId="0" fillId="0" borderId="0" xfId="0" applyBorder="1" applyAlignment="1"/>
    <xf numFmtId="0" fontId="0" fillId="0" borderId="0" xfId="0" applyBorder="1"/>
    <xf numFmtId="0" fontId="0" fillId="0" borderId="0" xfId="0" applyAlignment="1"/>
    <xf numFmtId="0" fontId="0" fillId="0" borderId="0" xfId="0" applyAlignment="1">
      <alignment horizontal="center" vertical="center"/>
    </xf>
    <xf numFmtId="0" fontId="0" fillId="0" borderId="4" xfId="0" applyBorder="1"/>
    <xf numFmtId="0" fontId="0" fillId="0" borderId="0" xfId="0" applyAlignment="1">
      <alignment horizontal="center" vertical="center" wrapText="1"/>
    </xf>
    <xf numFmtId="0" fontId="2" fillId="0" borderId="0" xfId="0" applyFont="1" applyAlignment="1">
      <alignment horizontal="center" vertical="center" wrapText="1"/>
    </xf>
    <xf numFmtId="8" fontId="0" fillId="0" borderId="0" xfId="0" applyNumberFormat="1" applyBorder="1"/>
    <xf numFmtId="0" fontId="1" fillId="0" borderId="0" xfId="0" applyFont="1" applyAlignment="1"/>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1" fontId="0" fillId="0" borderId="0" xfId="0" applyNumberFormat="1" applyFont="1" applyAlignment="1">
      <alignment horizontal="center"/>
    </xf>
    <xf numFmtId="1" fontId="0" fillId="0" borderId="2" xfId="0" applyNumberFormat="1" applyFont="1" applyBorder="1" applyAlignment="1">
      <alignment horizontal="center"/>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0" xfId="0" applyAlignment="1">
      <alignment vertical="center" wrapText="1"/>
    </xf>
    <xf numFmtId="0" fontId="0" fillId="0" borderId="3" xfId="0" applyBorder="1" applyAlignment="1">
      <alignment horizontal="center" vertical="center" wrapText="1"/>
    </xf>
    <xf numFmtId="0" fontId="0" fillId="0" borderId="0" xfId="0" applyFill="1" applyBorder="1" applyAlignment="1">
      <alignment wrapText="1"/>
    </xf>
    <xf numFmtId="0" fontId="0" fillId="0" borderId="2" xfId="0" applyBorder="1" applyAlignment="1">
      <alignment horizontal="center"/>
    </xf>
    <xf numFmtId="2" fontId="0" fillId="0" borderId="0" xfId="0" applyNumberFormat="1" applyBorder="1"/>
    <xf numFmtId="4" fontId="0" fillId="0" borderId="2" xfId="0" applyNumberFormat="1" applyBorder="1"/>
    <xf numFmtId="4" fontId="0" fillId="0" borderId="0" xfId="0" applyNumberFormat="1"/>
    <xf numFmtId="4" fontId="0" fillId="0" borderId="0" xfId="0" applyNumberFormat="1" applyBorder="1"/>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Border="1"/>
    <xf numFmtId="0" fontId="4" fillId="0" borderId="0" xfId="0" applyFont="1" applyFill="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xf numFmtId="0" fontId="10" fillId="0" borderId="0" xfId="0" applyFont="1" applyAlignment="1">
      <alignment horizontal="center" vertical="center" wrapText="1"/>
    </xf>
    <xf numFmtId="4" fontId="10" fillId="0" borderId="0" xfId="0" applyNumberFormat="1" applyFont="1" applyAlignment="1">
      <alignment horizontal="center" vertical="center"/>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4" fontId="8" fillId="0" borderId="10" xfId="0" applyNumberFormat="1" applyFont="1" applyBorder="1" applyAlignment="1">
      <alignment horizontal="center" vertical="center"/>
    </xf>
    <xf numFmtId="4" fontId="8" fillId="0" borderId="5" xfId="0" applyNumberFormat="1" applyFont="1" applyBorder="1" applyAlignment="1">
      <alignment horizontal="center" vertical="center"/>
    </xf>
    <xf numFmtId="0" fontId="7" fillId="0" borderId="9" xfId="0" applyFont="1" applyBorder="1" applyAlignment="1">
      <alignment horizontal="center" vertical="center"/>
    </xf>
    <xf numFmtId="4" fontId="7" fillId="0" borderId="4" xfId="0" applyNumberFormat="1" applyFont="1" applyBorder="1" applyAlignment="1">
      <alignment horizontal="center" vertical="center"/>
    </xf>
    <xf numFmtId="0" fontId="5" fillId="0" borderId="4" xfId="0" applyFont="1" applyBorder="1" applyAlignment="1">
      <alignment horizontal="justify" vertical="center" wrapText="1"/>
    </xf>
    <xf numFmtId="4" fontId="8" fillId="0" borderId="4" xfId="0" applyNumberFormat="1" applyFont="1" applyBorder="1" applyAlignment="1">
      <alignment horizontal="center" vertical="center"/>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4" fontId="7" fillId="2" borderId="0" xfId="0" applyNumberFormat="1" applyFont="1" applyFill="1" applyBorder="1" applyAlignment="1">
      <alignment horizontal="center" vertical="center"/>
    </xf>
    <xf numFmtId="0" fontId="5" fillId="2" borderId="0" xfId="0" applyFont="1" applyFill="1" applyBorder="1" applyAlignment="1">
      <alignment horizontal="justify"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4" fontId="8" fillId="0" borderId="0" xfId="0" applyNumberFormat="1" applyFont="1" applyBorder="1" applyAlignment="1">
      <alignment horizontal="center" vertical="center"/>
    </xf>
    <xf numFmtId="0" fontId="0" fillId="0" borderId="2" xfId="0" applyBorder="1" applyAlignment="1">
      <alignment horizontal="center"/>
    </xf>
    <xf numFmtId="0" fontId="0" fillId="0" borderId="0" xfId="0" applyBorder="1" applyAlignment="1">
      <alignment horizontal="center" vertical="center" wrapText="1"/>
    </xf>
    <xf numFmtId="4" fontId="8" fillId="0" borderId="9" xfId="0" applyNumberFormat="1" applyFont="1" applyBorder="1" applyAlignment="1">
      <alignment horizontal="center" vertical="center"/>
    </xf>
    <xf numFmtId="4" fontId="7" fillId="0" borderId="9" xfId="0" applyNumberFormat="1" applyFont="1" applyBorder="1" applyAlignment="1">
      <alignment horizontal="center" vertical="center"/>
    </xf>
    <xf numFmtId="0" fontId="5" fillId="0" borderId="9" xfId="0" applyFont="1" applyBorder="1" applyAlignment="1">
      <alignment horizontal="justify" vertical="center" wrapText="1"/>
    </xf>
    <xf numFmtId="0" fontId="15"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4" fontId="15" fillId="2" borderId="2" xfId="0" applyNumberFormat="1" applyFont="1" applyFill="1" applyBorder="1" applyAlignment="1">
      <alignment horizontal="center" vertical="center"/>
    </xf>
    <xf numFmtId="0" fontId="17" fillId="2" borderId="2" xfId="0" applyFont="1" applyFill="1" applyBorder="1" applyAlignment="1">
      <alignment horizontal="justify" vertical="center" wrapText="1"/>
    </xf>
    <xf numFmtId="0" fontId="5" fillId="0" borderId="4" xfId="0" applyFont="1" applyBorder="1" applyAlignment="1">
      <alignment horizontal="left" vertical="center" wrapText="1"/>
    </xf>
    <xf numFmtId="0" fontId="7" fillId="0" borderId="4" xfId="0" applyFont="1" applyBorder="1" applyAlignment="1">
      <alignment horizontal="left" vertical="center" wrapText="1"/>
    </xf>
    <xf numFmtId="3" fontId="0" fillId="0" borderId="0" xfId="0" applyNumberFormat="1" applyBorder="1"/>
    <xf numFmtId="0" fontId="9" fillId="0" borderId="0" xfId="0" applyFont="1" applyBorder="1"/>
    <xf numFmtId="9" fontId="0" fillId="0" borderId="0" xfId="1" applyFont="1" applyBorder="1"/>
    <xf numFmtId="0" fontId="19" fillId="0" borderId="0" xfId="0" applyFont="1" applyFill="1" applyBorder="1" applyAlignment="1">
      <alignment horizontal="left" vertical="center" wrapText="1"/>
    </xf>
    <xf numFmtId="4" fontId="0" fillId="0" borderId="0" xfId="0" applyNumberFormat="1" applyBorder="1" applyAlignment="1">
      <alignment horizontal="right" vertical="center" wrapText="1"/>
    </xf>
    <xf numFmtId="0" fontId="0" fillId="0" borderId="0" xfId="0" applyFont="1" applyFill="1" applyBorder="1"/>
    <xf numFmtId="0" fontId="0" fillId="0" borderId="1" xfId="0" applyFont="1" applyFill="1" applyBorder="1"/>
    <xf numFmtId="10" fontId="0" fillId="0" borderId="1" xfId="1" applyNumberFormat="1" applyFont="1" applyBorder="1"/>
    <xf numFmtId="0" fontId="0" fillId="0" borderId="4" xfId="0" applyBorder="1" applyAlignment="1">
      <alignment horizontal="centerContinuous" vertical="center" wrapText="1"/>
    </xf>
    <xf numFmtId="3" fontId="0" fillId="0" borderId="4" xfId="0" applyNumberFormat="1" applyBorder="1" applyAlignment="1">
      <alignment horizontal="center"/>
    </xf>
    <xf numFmtId="3" fontId="0" fillId="0" borderId="4" xfId="0" applyNumberFormat="1" applyBorder="1"/>
    <xf numFmtId="166" fontId="0" fillId="0" borderId="4" xfId="1" applyNumberFormat="1" applyFont="1" applyBorder="1"/>
    <xf numFmtId="10" fontId="0" fillId="0" borderId="4" xfId="1" applyNumberFormat="1" applyFont="1" applyBorder="1"/>
    <xf numFmtId="167" fontId="0" fillId="0" borderId="4" xfId="1" applyNumberFormat="1" applyFont="1" applyBorder="1"/>
    <xf numFmtId="166" fontId="0" fillId="0" borderId="0" xfId="1" applyNumberFormat="1" applyFont="1"/>
    <xf numFmtId="3" fontId="0" fillId="0" borderId="0" xfId="0" applyNumberFormat="1" applyAlignment="1">
      <alignment horizontal="center" vertical="center" wrapText="1"/>
    </xf>
    <xf numFmtId="3" fontId="0" fillId="0" borderId="0" xfId="1" applyNumberFormat="1" applyFont="1"/>
    <xf numFmtId="3" fontId="14" fillId="0" borderId="4" xfId="0" applyNumberFormat="1" applyFont="1" applyBorder="1" applyAlignment="1">
      <alignment horizontal="center" vertical="center" wrapText="1"/>
    </xf>
    <xf numFmtId="0" fontId="18" fillId="0" borderId="3" xfId="0" applyFont="1" applyFill="1" applyBorder="1" applyAlignment="1">
      <alignment vertical="center" wrapText="1"/>
    </xf>
    <xf numFmtId="0" fontId="18" fillId="0" borderId="1" xfId="0" applyFont="1" applyFill="1" applyBorder="1" applyAlignment="1">
      <alignment vertical="center" wrapText="1"/>
    </xf>
    <xf numFmtId="4" fontId="0" fillId="0" borderId="4" xfId="0" applyNumberFormat="1" applyBorder="1"/>
    <xf numFmtId="165" fontId="0" fillId="0" borderId="4" xfId="0" applyNumberFormat="1" applyBorder="1"/>
    <xf numFmtId="0" fontId="5" fillId="0" borderId="0" xfId="0" applyFont="1" applyBorder="1"/>
    <xf numFmtId="0" fontId="1" fillId="0" borderId="0" xfId="0" applyFont="1" applyBorder="1"/>
    <xf numFmtId="3" fontId="0" fillId="0" borderId="2" xfId="0" applyNumberFormat="1" applyBorder="1"/>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3" fontId="0" fillId="0" borderId="2" xfId="0" applyNumberFormat="1" applyBorder="1" applyAlignment="1">
      <alignment horizontal="right"/>
    </xf>
    <xf numFmtId="4" fontId="3" fillId="0" borderId="2" xfId="0" applyNumberFormat="1" applyFont="1" applyBorder="1"/>
    <xf numFmtId="0" fontId="20" fillId="0" borderId="2" xfId="0" applyFont="1" applyBorder="1"/>
    <xf numFmtId="4" fontId="20" fillId="0" borderId="2" xfId="0" applyNumberFormat="1" applyFont="1" applyBorder="1"/>
    <xf numFmtId="0" fontId="3" fillId="0" borderId="2" xfId="0" applyFont="1" applyFill="1" applyBorder="1"/>
    <xf numFmtId="4" fontId="0" fillId="0" borderId="4" xfId="1" applyNumberFormat="1" applyFont="1" applyBorder="1"/>
    <xf numFmtId="4" fontId="0" fillId="2" borderId="0" xfId="0" applyNumberFormat="1" applyFill="1" applyBorder="1"/>
    <xf numFmtId="0" fontId="4" fillId="2" borderId="0" xfId="0" applyFont="1" applyFill="1" applyBorder="1"/>
    <xf numFmtId="3" fontId="0" fillId="2" borderId="4" xfId="0" applyNumberFormat="1" applyFill="1" applyBorder="1" applyAlignment="1">
      <alignment horizontal="center"/>
    </xf>
    <xf numFmtId="0" fontId="13" fillId="3" borderId="0" xfId="0" applyFont="1" applyFill="1" applyBorder="1"/>
    <xf numFmtId="4" fontId="13" fillId="3" borderId="0" xfId="0" applyNumberFormat="1" applyFont="1" applyFill="1" applyBorder="1"/>
    <xf numFmtId="0" fontId="13" fillId="0" borderId="0" xfId="0" applyFont="1" applyBorder="1"/>
    <xf numFmtId="4" fontId="13" fillId="0" borderId="0" xfId="0" applyNumberFormat="1" applyFon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applyAlignment="1"/>
    <xf numFmtId="0" fontId="0" fillId="0" borderId="16" xfId="0" applyBorder="1"/>
    <xf numFmtId="0" fontId="0" fillId="0" borderId="17" xfId="0" applyBorder="1"/>
    <xf numFmtId="0" fontId="0" fillId="0" borderId="18" xfId="0" applyBorder="1"/>
    <xf numFmtId="0" fontId="0" fillId="0" borderId="19" xfId="0" applyBorder="1"/>
    <xf numFmtId="10" fontId="0" fillId="0" borderId="0" xfId="0" applyNumberFormat="1"/>
    <xf numFmtId="0" fontId="5" fillId="0" borderId="2" xfId="0" applyFont="1" applyBorder="1"/>
    <xf numFmtId="4" fontId="0" fillId="0" borderId="0" xfId="0" applyNumberFormat="1" applyFill="1" applyBorder="1"/>
    <xf numFmtId="9" fontId="0" fillId="0" borderId="0" xfId="0" applyNumberFormat="1" applyBorder="1"/>
    <xf numFmtId="0" fontId="0" fillId="0" borderId="2" xfId="0" applyBorder="1" applyAlignment="1">
      <alignment vertical="center" wrapText="1"/>
    </xf>
    <xf numFmtId="0" fontId="14" fillId="0" borderId="2" xfId="0" applyFont="1" applyBorder="1" applyAlignment="1">
      <alignment vertical="center" wrapText="1"/>
    </xf>
    <xf numFmtId="3" fontId="14" fillId="0" borderId="2" xfId="0" applyNumberFormat="1" applyFont="1" applyBorder="1" applyAlignment="1">
      <alignment vertical="center" wrapText="1"/>
    </xf>
    <xf numFmtId="3" fontId="14"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10" fontId="0" fillId="0" borderId="0" xfId="0" applyNumberFormat="1" applyBorder="1"/>
    <xf numFmtId="9" fontId="0" fillId="0" borderId="1" xfId="1" applyFont="1" applyBorder="1"/>
    <xf numFmtId="0" fontId="9" fillId="0" borderId="2" xfId="0" applyFont="1" applyBorder="1"/>
    <xf numFmtId="10" fontId="0" fillId="0" borderId="2" xfId="0" applyNumberFormat="1" applyBorder="1"/>
    <xf numFmtId="10" fontId="0" fillId="0" borderId="1" xfId="0" applyNumberFormat="1" applyBorder="1"/>
    <xf numFmtId="0" fontId="9" fillId="0" borderId="0" xfId="0" applyFont="1" applyFill="1" applyBorder="1"/>
    <xf numFmtId="0" fontId="23" fillId="0" borderId="0" xfId="0" applyFont="1" applyFill="1" applyBorder="1"/>
    <xf numFmtId="168" fontId="0" fillId="4" borderId="0" xfId="0" applyNumberFormat="1" applyFill="1" applyBorder="1"/>
    <xf numFmtId="168" fontId="0" fillId="0" borderId="0" xfId="0" applyNumberFormat="1" applyBorder="1"/>
    <xf numFmtId="0" fontId="9" fillId="0" borderId="0" xfId="0" applyFont="1" applyFill="1" applyBorder="1" applyAlignment="1"/>
    <xf numFmtId="0" fontId="23" fillId="0" borderId="0" xfId="0" applyFont="1" applyBorder="1" applyAlignment="1">
      <alignment horizontal="left"/>
    </xf>
    <xf numFmtId="0" fontId="23" fillId="0" borderId="2" xfId="0" applyFont="1" applyBorder="1"/>
    <xf numFmtId="168" fontId="0" fillId="4" borderId="2" xfId="0" applyNumberFormat="1" applyFill="1" applyBorder="1"/>
    <xf numFmtId="9" fontId="5" fillId="0" borderId="2" xfId="0" applyNumberFormat="1" applyFont="1" applyBorder="1"/>
    <xf numFmtId="0" fontId="9" fillId="0" borderId="2" xfId="0" applyFont="1" applyFill="1" applyBorder="1"/>
    <xf numFmtId="3" fontId="9" fillId="0" borderId="2" xfId="0" applyNumberFormat="1" applyFont="1" applyBorder="1"/>
    <xf numFmtId="169" fontId="0" fillId="0" borderId="2" xfId="0" applyNumberFormat="1" applyBorder="1"/>
    <xf numFmtId="0" fontId="9" fillId="0" borderId="2" xfId="0" applyFont="1" applyFill="1" applyBorder="1" applyAlignment="1">
      <alignment horizontal="center" vertical="center" wrapText="1"/>
    </xf>
    <xf numFmtId="0" fontId="9" fillId="0" borderId="0" xfId="0" applyFont="1" applyBorder="1" applyAlignment="1">
      <alignment horizontal="center"/>
    </xf>
    <xf numFmtId="3" fontId="0" fillId="0" borderId="1" xfId="0" applyNumberFormat="1" applyBorder="1"/>
    <xf numFmtId="9" fontId="0" fillId="0" borderId="2" xfId="1" applyFont="1" applyBorder="1"/>
    <xf numFmtId="10" fontId="0" fillId="0" borderId="0" xfId="1" applyNumberFormat="1" applyFont="1"/>
    <xf numFmtId="0" fontId="0" fillId="0" borderId="0" xfId="0" applyBorder="1" applyAlignment="1">
      <alignment vertical="center" wrapText="1"/>
    </xf>
    <xf numFmtId="0" fontId="0" fillId="0" borderId="0" xfId="0" applyBorder="1" applyAlignment="1">
      <alignment horizontal="center"/>
    </xf>
    <xf numFmtId="0" fontId="3" fillId="0" borderId="0" xfId="0" applyFont="1" applyBorder="1" applyAlignment="1">
      <alignment horizontal="left"/>
    </xf>
    <xf numFmtId="0" fontId="0" fillId="0" borderId="2" xfId="0" applyBorder="1" applyAlignment="1"/>
    <xf numFmtId="9" fontId="0" fillId="0" borderId="1" xfId="1" applyNumberFormat="1" applyFont="1" applyBorder="1"/>
    <xf numFmtId="0" fontId="3" fillId="0" borderId="0" xfId="0" applyFont="1"/>
    <xf numFmtId="3" fontId="0" fillId="0" borderId="0" xfId="0" applyNumberFormat="1" applyFill="1" applyBorder="1"/>
    <xf numFmtId="0" fontId="0" fillId="0" borderId="2" xfId="0" applyBorder="1" applyAlignment="1">
      <alignment horizontal="right"/>
    </xf>
    <xf numFmtId="1" fontId="0" fillId="0" borderId="2" xfId="0" applyNumberFormat="1" applyFont="1" applyBorder="1" applyAlignment="1">
      <alignment horizontal="right"/>
    </xf>
    <xf numFmtId="9"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38" fontId="0" fillId="0" borderId="1" xfId="0" applyNumberFormat="1" applyBorder="1"/>
    <xf numFmtId="0" fontId="18" fillId="0" borderId="1" xfId="0" applyFont="1" applyBorder="1" applyAlignment="1">
      <alignment horizontal="center" vertical="center" wrapText="1"/>
    </xf>
    <xf numFmtId="10" fontId="18"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10" fontId="18" fillId="0" borderId="2" xfId="0" quotePrefix="1" applyNumberFormat="1" applyFont="1" applyBorder="1" applyAlignment="1">
      <alignment horizontal="center" vertical="center" wrapText="1"/>
    </xf>
    <xf numFmtId="0" fontId="19" fillId="0" borderId="0" xfId="0" quotePrefix="1" applyFont="1" applyBorder="1" applyAlignment="1">
      <alignment horizontal="centerContinuous" vertical="center" wrapText="1"/>
    </xf>
    <xf numFmtId="0" fontId="29" fillId="0" borderId="0" xfId="0" applyFont="1" applyBorder="1" applyAlignment="1">
      <alignment horizontal="center" vertical="center" wrapText="1"/>
    </xf>
    <xf numFmtId="10" fontId="29" fillId="0" borderId="0" xfId="0" applyNumberFormat="1" applyFont="1" applyBorder="1" applyAlignment="1">
      <alignment horizontal="center" vertical="center" wrapText="1"/>
    </xf>
    <xf numFmtId="10" fontId="29" fillId="0" borderId="0" xfId="0" quotePrefix="1" applyNumberFormat="1" applyFont="1" applyBorder="1" applyAlignment="1">
      <alignment horizontal="center" vertical="center" wrapText="1"/>
    </xf>
    <xf numFmtId="9" fontId="29" fillId="0" borderId="0" xfId="0" quotePrefix="1" applyNumberFormat="1" applyFont="1" applyBorder="1" applyAlignment="1">
      <alignment horizontal="center" vertical="center" wrapText="1"/>
    </xf>
    <xf numFmtId="0" fontId="31" fillId="0" borderId="0" xfId="0" quotePrefix="1" applyFont="1" applyBorder="1" applyAlignment="1">
      <alignment horizontal="center"/>
    </xf>
    <xf numFmtId="3" fontId="31" fillId="0" borderId="0" xfId="0" applyNumberFormat="1" applyFont="1" applyBorder="1"/>
    <xf numFmtId="172" fontId="31" fillId="0" borderId="0" xfId="2" applyNumberFormat="1" applyFont="1" applyBorder="1"/>
    <xf numFmtId="173" fontId="31" fillId="0" borderId="0" xfId="0" applyNumberFormat="1" applyFont="1" applyBorder="1"/>
    <xf numFmtId="174" fontId="31" fillId="0" borderId="0" xfId="0" applyNumberFormat="1" applyFont="1" applyBorder="1"/>
    <xf numFmtId="175" fontId="31" fillId="0" borderId="0" xfId="0" applyNumberFormat="1" applyFont="1" applyBorder="1"/>
    <xf numFmtId="176" fontId="31" fillId="0" borderId="0" xfId="0" applyNumberFormat="1" applyFont="1" applyBorder="1"/>
    <xf numFmtId="177" fontId="31" fillId="0" borderId="0" xfId="0" applyNumberFormat="1" applyFont="1" applyBorder="1"/>
    <xf numFmtId="0" fontId="31" fillId="0" borderId="0" xfId="0" applyFont="1" applyBorder="1" applyAlignment="1">
      <alignment horizontal="center"/>
    </xf>
    <xf numFmtId="170" fontId="31" fillId="0" borderId="0" xfId="0" applyNumberFormat="1" applyFont="1" applyBorder="1"/>
    <xf numFmtId="169" fontId="31" fillId="0" borderId="0" xfId="2" applyNumberFormat="1" applyFont="1" applyBorder="1"/>
    <xf numFmtId="0" fontId="33" fillId="0" borderId="2" xfId="0" applyFont="1" applyBorder="1" applyAlignment="1">
      <alignment horizontal="center"/>
    </xf>
    <xf numFmtId="170" fontId="33" fillId="0" borderId="2" xfId="0" applyNumberFormat="1" applyFont="1" applyBorder="1"/>
    <xf numFmtId="169" fontId="33" fillId="0" borderId="2" xfId="2" applyNumberFormat="1" applyFont="1" applyBorder="1"/>
    <xf numFmtId="173" fontId="33" fillId="0" borderId="2" xfId="0" applyNumberFormat="1" applyFont="1" applyBorder="1"/>
    <xf numFmtId="0" fontId="33" fillId="0" borderId="2" xfId="0" applyFont="1" applyBorder="1"/>
    <xf numFmtId="0" fontId="31" fillId="0" borderId="0" xfId="0" applyFont="1" applyBorder="1"/>
    <xf numFmtId="2" fontId="31" fillId="0" borderId="0" xfId="0" applyNumberFormat="1" applyFont="1" applyBorder="1" applyAlignment="1">
      <alignment horizontal="right"/>
    </xf>
    <xf numFmtId="0" fontId="33" fillId="0" borderId="0" xfId="0" applyFont="1" applyBorder="1" applyAlignment="1">
      <alignment horizontal="center"/>
    </xf>
    <xf numFmtId="170" fontId="33" fillId="0" borderId="0" xfId="0" applyNumberFormat="1" applyFont="1" applyBorder="1"/>
    <xf numFmtId="169" fontId="33" fillId="0" borderId="0" xfId="2" applyNumberFormat="1" applyFont="1" applyBorder="1"/>
    <xf numFmtId="173" fontId="33" fillId="0" borderId="0" xfId="0" applyNumberFormat="1" applyFont="1" applyBorder="1"/>
    <xf numFmtId="0" fontId="33" fillId="0" borderId="0" xfId="0" applyFont="1" applyBorder="1"/>
    <xf numFmtId="0" fontId="34" fillId="0" borderId="0" xfId="0" applyFont="1" applyBorder="1" applyAlignment="1"/>
    <xf numFmtId="0" fontId="34" fillId="0" borderId="0" xfId="0" quotePrefix="1" applyFont="1" applyBorder="1" applyAlignment="1"/>
    <xf numFmtId="0" fontId="34" fillId="0" borderId="0" xfId="0" applyFont="1" applyBorder="1" applyAlignment="1">
      <alignment horizontal="center"/>
    </xf>
    <xf numFmtId="170" fontId="34" fillId="0" borderId="0" xfId="0" applyNumberFormat="1" applyFont="1" applyBorder="1"/>
    <xf numFmtId="169" fontId="34" fillId="0" borderId="0" xfId="2" applyNumberFormat="1" applyFont="1" applyBorder="1"/>
    <xf numFmtId="173" fontId="34" fillId="0" borderId="0" xfId="0" applyNumberFormat="1" applyFont="1" applyBorder="1"/>
    <xf numFmtId="0" fontId="34" fillId="0" borderId="0" xfId="0" applyFont="1" applyBorder="1"/>
    <xf numFmtId="169" fontId="31" fillId="0" borderId="0" xfId="2" applyNumberFormat="1" applyFont="1" applyBorder="1" applyAlignment="1">
      <alignment horizontal="right"/>
    </xf>
    <xf numFmtId="171" fontId="31" fillId="0" borderId="0" xfId="2" applyNumberFormat="1" applyFont="1" applyBorder="1"/>
    <xf numFmtId="0" fontId="34" fillId="0" borderId="2" xfId="0" applyFont="1" applyBorder="1" applyAlignment="1"/>
    <xf numFmtId="0" fontId="34" fillId="0" borderId="2" xfId="0" quotePrefix="1" applyFont="1" applyBorder="1" applyAlignment="1"/>
    <xf numFmtId="0" fontId="34" fillId="0" borderId="2" xfId="0" applyFont="1" applyBorder="1" applyAlignment="1">
      <alignment horizontal="center"/>
    </xf>
    <xf numFmtId="170" fontId="34" fillId="0" borderId="2" xfId="0" applyNumberFormat="1" applyFont="1" applyBorder="1"/>
    <xf numFmtId="169" fontId="34" fillId="0" borderId="2" xfId="2" applyNumberFormat="1" applyFont="1" applyBorder="1"/>
    <xf numFmtId="173" fontId="34" fillId="0" borderId="2" xfId="0" applyNumberFormat="1" applyFont="1" applyBorder="1"/>
    <xf numFmtId="0" fontId="34" fillId="0" borderId="2" xfId="0" applyFont="1" applyBorder="1"/>
    <xf numFmtId="0" fontId="3" fillId="0" borderId="1" xfId="0" applyFont="1" applyBorder="1"/>
    <xf numFmtId="3" fontId="3" fillId="0" borderId="1" xfId="0" applyNumberFormat="1" applyFont="1" applyBorder="1"/>
    <xf numFmtId="3" fontId="3" fillId="0" borderId="2" xfId="0" applyNumberFormat="1" applyFont="1" applyBorder="1"/>
    <xf numFmtId="0" fontId="18" fillId="0" borderId="2" xfId="0" applyFont="1" applyFill="1" applyBorder="1" applyAlignment="1">
      <alignment horizontal="center" vertical="center" wrapText="1"/>
    </xf>
    <xf numFmtId="0" fontId="18" fillId="0" borderId="2" xfId="0" applyFont="1" applyBorder="1" applyAlignment="1">
      <alignment horizontal="left" vertical="center" wrapText="1"/>
    </xf>
    <xf numFmtId="10" fontId="18" fillId="0" borderId="2" xfId="0" quotePrefix="1" applyNumberFormat="1" applyFont="1" applyFill="1" applyBorder="1" applyAlignment="1">
      <alignment horizontal="center" vertical="center" wrapText="1"/>
    </xf>
    <xf numFmtId="9" fontId="18" fillId="0" borderId="2" xfId="0" applyNumberFormat="1" applyFont="1" applyBorder="1" applyAlignment="1">
      <alignment horizontal="center" vertical="center" wrapText="1"/>
    </xf>
    <xf numFmtId="0" fontId="36" fillId="0" borderId="2" xfId="0" applyFont="1" applyBorder="1"/>
    <xf numFmtId="3" fontId="36" fillId="0" borderId="2" xfId="0" applyNumberFormat="1" applyFont="1" applyBorder="1"/>
    <xf numFmtId="0" fontId="19" fillId="0" borderId="2" xfId="0" applyFont="1" applyBorder="1" applyAlignment="1">
      <alignment horizontal="center" vertical="center" wrapText="1"/>
    </xf>
    <xf numFmtId="0" fontId="19" fillId="0" borderId="0" xfId="0" applyFont="1" applyBorder="1"/>
    <xf numFmtId="3" fontId="19" fillId="0" borderId="0" xfId="0" applyNumberFormat="1" applyFont="1" applyBorder="1"/>
    <xf numFmtId="0" fontId="19" fillId="0" borderId="2" xfId="0" applyFont="1" applyBorder="1"/>
    <xf numFmtId="3" fontId="19" fillId="0" borderId="2" xfId="0" applyNumberFormat="1" applyFont="1" applyBorder="1"/>
    <xf numFmtId="0" fontId="18" fillId="0" borderId="3" xfId="0" applyFont="1" applyBorder="1"/>
    <xf numFmtId="0" fontId="18" fillId="0" borderId="0" xfId="0" applyFont="1" applyBorder="1"/>
    <xf numFmtId="3" fontId="18" fillId="0" borderId="0" xfId="0" applyNumberFormat="1" applyFont="1" applyBorder="1"/>
    <xf numFmtId="0" fontId="18" fillId="0" borderId="2" xfId="0" applyFont="1" applyBorder="1"/>
    <xf numFmtId="3" fontId="18" fillId="0" borderId="2" xfId="0" applyNumberFormat="1" applyFont="1" applyBorder="1"/>
    <xf numFmtId="169" fontId="5" fillId="0" borderId="0" xfId="2" applyNumberFormat="1" applyFont="1" applyBorder="1"/>
    <xf numFmtId="169" fontId="18" fillId="0" borderId="0" xfId="2" applyNumberFormat="1" applyFont="1" applyBorder="1"/>
    <xf numFmtId="0" fontId="18" fillId="0" borderId="0" xfId="0" quotePrefix="1" applyFont="1" applyBorder="1" applyAlignment="1">
      <alignment horizontal="left"/>
    </xf>
    <xf numFmtId="169" fontId="4" fillId="0" borderId="2" xfId="2" applyNumberFormat="1" applyFont="1" applyBorder="1"/>
    <xf numFmtId="169" fontId="5" fillId="0" borderId="2" xfId="2" applyNumberFormat="1" applyFont="1" applyBorder="1"/>
    <xf numFmtId="169" fontId="0" fillId="0" borderId="0" xfId="0" applyNumberFormat="1"/>
    <xf numFmtId="0" fontId="3" fillId="0" borderId="0" xfId="0" applyFont="1" applyAlignment="1"/>
    <xf numFmtId="0" fontId="22" fillId="0" borderId="0" xfId="0" applyFont="1" applyAlignment="1"/>
    <xf numFmtId="0" fontId="1" fillId="0" borderId="0" xfId="0" applyFont="1" applyBorder="1" applyAlignment="1"/>
    <xf numFmtId="0" fontId="0" fillId="0" borderId="1" xfId="0" applyBorder="1" applyAlignment="1"/>
    <xf numFmtId="2" fontId="3" fillId="0" borderId="0" xfId="0" applyNumberFormat="1" applyFont="1" applyBorder="1"/>
    <xf numFmtId="0" fontId="0" fillId="0" borderId="0" xfId="0" applyFont="1" applyBorder="1"/>
    <xf numFmtId="169" fontId="4" fillId="0" borderId="2" xfId="0" applyNumberFormat="1" applyFont="1" applyBorder="1"/>
    <xf numFmtId="0" fontId="31" fillId="0" borderId="2" xfId="0" applyFont="1" applyBorder="1"/>
    <xf numFmtId="3" fontId="31" fillId="0" borderId="2" xfId="0" applyNumberFormat="1" applyFont="1" applyBorder="1"/>
    <xf numFmtId="0" fontId="18" fillId="0" borderId="0" xfId="0" applyFont="1" applyFill="1" applyBorder="1" applyAlignment="1">
      <alignment horizontal="centerContinuous"/>
    </xf>
    <xf numFmtId="169" fontId="0" fillId="0" borderId="0" xfId="2" applyNumberFormat="1" applyFont="1" applyBorder="1"/>
    <xf numFmtId="169" fontId="0" fillId="0" borderId="1" xfId="2" applyNumberFormat="1" applyFont="1" applyBorder="1"/>
    <xf numFmtId="0" fontId="0" fillId="0" borderId="0" xfId="0" applyFont="1"/>
    <xf numFmtId="169" fontId="18" fillId="0" borderId="2" xfId="2" applyNumberFormat="1" applyFont="1" applyBorder="1"/>
    <xf numFmtId="0" fontId="0" fillId="0" borderId="1" xfId="0" applyFont="1" applyBorder="1"/>
    <xf numFmtId="0" fontId="18" fillId="0" borderId="0" xfId="0" applyFont="1" applyBorder="1" applyAlignment="1">
      <alignment horizontal="left" vertical="center" wrapText="1"/>
    </xf>
    <xf numFmtId="0" fontId="18" fillId="0" borderId="0" xfId="0" quotePrefix="1" applyFont="1" applyBorder="1" applyAlignment="1">
      <alignment horizontal="left" vertical="center" wrapText="1"/>
    </xf>
    <xf numFmtId="0" fontId="4" fillId="0" borderId="2" xfId="0" applyFont="1" applyBorder="1" applyAlignment="1">
      <alignment horizontal="left" vertical="center" wrapText="1"/>
    </xf>
    <xf numFmtId="0" fontId="14" fillId="0" borderId="2" xfId="0" applyFont="1" applyBorder="1" applyAlignment="1">
      <alignment horizontal="center" vertical="center" wrapText="1"/>
    </xf>
    <xf numFmtId="0" fontId="19" fillId="0" borderId="0" xfId="0" applyFont="1" applyFill="1" applyBorder="1"/>
    <xf numFmtId="0" fontId="19" fillId="0" borderId="1" xfId="0" applyFont="1" applyFill="1" applyBorder="1"/>
    <xf numFmtId="0" fontId="18" fillId="0" borderId="2" xfId="0" quotePrefix="1" applyFont="1" applyBorder="1" applyAlignment="1">
      <alignment horizontal="center" vertical="center" wrapText="1"/>
    </xf>
    <xf numFmtId="0" fontId="37" fillId="0" borderId="2" xfId="0" applyFont="1" applyBorder="1" applyAlignment="1">
      <alignment horizontal="left" vertical="center" wrapText="1"/>
    </xf>
    <xf numFmtId="10" fontId="19" fillId="0" borderId="2" xfId="0" quotePrefix="1" applyNumberFormat="1" applyFont="1" applyBorder="1" applyAlignment="1">
      <alignment horizontal="center" vertical="center" wrapText="1"/>
    </xf>
    <xf numFmtId="9" fontId="19" fillId="0" borderId="2" xfId="0" quotePrefix="1" applyNumberFormat="1" applyFont="1" applyBorder="1" applyAlignment="1">
      <alignment horizontal="center" vertical="center" wrapText="1"/>
    </xf>
    <xf numFmtId="3" fontId="39" fillId="0" borderId="0" xfId="0" applyNumberFormat="1" applyFont="1" applyBorder="1"/>
    <xf numFmtId="0" fontId="37" fillId="0" borderId="0" xfId="0" applyFont="1" applyBorder="1"/>
    <xf numFmtId="0" fontId="37" fillId="0" borderId="2" xfId="0" applyFont="1" applyBorder="1"/>
    <xf numFmtId="0" fontId="18"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2" xfId="0" applyFont="1" applyFill="1" applyBorder="1" applyAlignment="1">
      <alignment horizontal="left" vertical="center" wrapText="1"/>
    </xf>
    <xf numFmtId="3" fontId="1" fillId="0" borderId="2" xfId="0" applyNumberFormat="1" applyFont="1" applyBorder="1"/>
    <xf numFmtId="169" fontId="4" fillId="0" borderId="2" xfId="2" applyNumberFormat="1" applyFont="1" applyBorder="1" applyAlignment="1">
      <alignment horizontal="right"/>
    </xf>
    <xf numFmtId="169" fontId="37" fillId="0" borderId="2" xfId="2" applyNumberFormat="1" applyFont="1" applyBorder="1" applyAlignment="1">
      <alignment horizontal="right"/>
    </xf>
    <xf numFmtId="169" fontId="3" fillId="0" borderId="2" xfId="0" applyNumberFormat="1" applyFont="1" applyBorder="1"/>
    <xf numFmtId="0" fontId="3" fillId="0" borderId="0" xfId="0" applyFont="1" applyFill="1" applyBorder="1"/>
    <xf numFmtId="0" fontId="3" fillId="0" borderId="1" xfId="0" applyFont="1" applyFill="1" applyBorder="1"/>
    <xf numFmtId="164" fontId="0" fillId="0" borderId="0" xfId="0" applyNumberFormat="1" applyBorder="1"/>
    <xf numFmtId="3" fontId="0" fillId="0" borderId="3" xfId="0" applyNumberFormat="1" applyBorder="1"/>
    <xf numFmtId="4" fontId="0" fillId="0" borderId="3" xfId="0" applyNumberFormat="1" applyBorder="1"/>
    <xf numFmtId="40" fontId="0" fillId="0" borderId="0" xfId="0" applyNumberFormat="1" applyBorder="1"/>
    <xf numFmtId="0" fontId="0" fillId="0" borderId="0" xfId="0" applyFont="1" applyAlignment="1"/>
    <xf numFmtId="0" fontId="0" fillId="0" borderId="2" xfId="0" applyBorder="1" applyAlignment="1">
      <alignment horizontal="center" vertical="center"/>
    </xf>
    <xf numFmtId="2" fontId="4" fillId="0" borderId="0" xfId="0" applyNumberFormat="1" applyFont="1" applyBorder="1"/>
    <xf numFmtId="2" fontId="4" fillId="0" borderId="0" xfId="0" applyNumberFormat="1" applyFont="1" applyFill="1" applyBorder="1"/>
    <xf numFmtId="0" fontId="26" fillId="0" borderId="0" xfId="0" applyFont="1" applyFill="1" applyBorder="1"/>
    <xf numFmtId="3" fontId="4" fillId="0" borderId="2" xfId="0" applyNumberFormat="1" applyFont="1" applyBorder="1"/>
    <xf numFmtId="3" fontId="4" fillId="0" borderId="2" xfId="0" applyNumberFormat="1" applyFont="1" applyFill="1" applyBorder="1"/>
    <xf numFmtId="2" fontId="0" fillId="0" borderId="0" xfId="0" applyNumberFormat="1" applyBorder="1" applyAlignment="1">
      <alignment horizontal="right" vertical="center"/>
    </xf>
    <xf numFmtId="3" fontId="0" fillId="0" borderId="2" xfId="0" applyNumberFormat="1" applyBorder="1" applyAlignment="1">
      <alignment horizontal="right" vertical="center"/>
    </xf>
    <xf numFmtId="3" fontId="0" fillId="0" borderId="0" xfId="0" applyNumberFormat="1" applyFill="1" applyBorder="1" applyAlignment="1">
      <alignment horizontal="right"/>
    </xf>
    <xf numFmtId="9" fontId="0" fillId="0" borderId="0" xfId="0" applyNumberFormat="1" applyFill="1" applyBorder="1"/>
    <xf numFmtId="4" fontId="0" fillId="0" borderId="0" xfId="0" applyNumberFormat="1" applyFill="1" applyBorder="1" applyAlignment="1">
      <alignment horizontal="right" vertical="center" wrapText="1"/>
    </xf>
    <xf numFmtId="4" fontId="3" fillId="0" borderId="0" xfId="0" applyNumberFormat="1" applyFont="1" applyFill="1" applyBorder="1"/>
    <xf numFmtId="165" fontId="20" fillId="0" borderId="0" xfId="0" applyNumberFormat="1" applyFont="1" applyFill="1" applyBorder="1"/>
    <xf numFmtId="4" fontId="20" fillId="0" borderId="0" xfId="0" applyNumberFormat="1" applyFont="1" applyFill="1" applyBorder="1"/>
    <xf numFmtId="4" fontId="1" fillId="0" borderId="0" xfId="0" applyNumberFormat="1" applyFont="1" applyFill="1" applyBorder="1"/>
    <xf numFmtId="10" fontId="0" fillId="0" borderId="0" xfId="1" applyNumberFormat="1" applyFont="1" applyFill="1" applyBorder="1"/>
    <xf numFmtId="3" fontId="0" fillId="0" borderId="0" xfId="0" applyNumberFormat="1" applyBorder="1" applyAlignment="1">
      <alignment horizontal="right" vertical="center" wrapText="1"/>
    </xf>
    <xf numFmtId="3" fontId="20" fillId="0" borderId="2" xfId="0" applyNumberFormat="1" applyFont="1" applyBorder="1"/>
    <xf numFmtId="3" fontId="1" fillId="0" borderId="0" xfId="0" applyNumberFormat="1" applyFont="1" applyBorder="1"/>
    <xf numFmtId="6" fontId="0" fillId="0" borderId="0" xfId="0" applyNumberFormat="1" applyBorder="1"/>
    <xf numFmtId="16" fontId="9" fillId="0" borderId="1" xfId="0" applyNumberFormat="1" applyFont="1" applyFill="1" applyBorder="1" applyAlignment="1">
      <alignment horizontal="center"/>
    </xf>
    <xf numFmtId="0" fontId="0" fillId="0" borderId="2" xfId="0" applyBorder="1" applyAlignment="1">
      <alignment horizontal="center"/>
    </xf>
    <xf numFmtId="0" fontId="0" fillId="0" borderId="0" xfId="0" applyAlignment="1">
      <alignment horizontal="center"/>
    </xf>
    <xf numFmtId="0" fontId="41" fillId="0" borderId="20" xfId="0" applyFont="1" applyBorder="1" applyAlignment="1">
      <alignment horizontal="center" vertical="center" wrapText="1"/>
    </xf>
    <xf numFmtId="0" fontId="40" fillId="0" borderId="0" xfId="0" applyFont="1" applyAlignment="1">
      <alignment vertical="center"/>
    </xf>
    <xf numFmtId="0" fontId="40" fillId="0" borderId="0" xfId="0" applyFont="1" applyAlignment="1">
      <alignment horizontal="center" vertical="center"/>
    </xf>
    <xf numFmtId="0" fontId="40" fillId="0" borderId="21" xfId="0" applyFont="1" applyBorder="1" applyAlignment="1">
      <alignment vertical="center"/>
    </xf>
    <xf numFmtId="0" fontId="40" fillId="0" borderId="21" xfId="0" applyFont="1" applyBorder="1" applyAlignment="1">
      <alignment horizontal="center" vertical="center"/>
    </xf>
    <xf numFmtId="0" fontId="40" fillId="0" borderId="21" xfId="0" applyFont="1" applyBorder="1" applyAlignment="1">
      <alignment horizontal="right" vertical="center"/>
    </xf>
    <xf numFmtId="0" fontId="41" fillId="0" borderId="21" xfId="0" applyFont="1" applyBorder="1" applyAlignment="1">
      <alignment vertical="center"/>
    </xf>
    <xf numFmtId="0" fontId="40" fillId="0" borderId="0" xfId="0" applyFont="1" applyAlignment="1">
      <alignment horizontal="left" vertical="center" wrapText="1"/>
    </xf>
    <xf numFmtId="0" fontId="40" fillId="0" borderId="21" xfId="0" applyFont="1" applyBorder="1" applyAlignment="1">
      <alignment horizontal="left" vertical="center" wrapText="1"/>
    </xf>
    <xf numFmtId="0" fontId="41" fillId="0" borderId="21" xfId="0" applyFont="1" applyBorder="1" applyAlignment="1">
      <alignment horizontal="left" vertical="center" wrapText="1"/>
    </xf>
    <xf numFmtId="0" fontId="41" fillId="0" borderId="22" xfId="0" applyFont="1" applyBorder="1" applyAlignment="1">
      <alignment horizontal="center" vertical="center" wrapText="1"/>
    </xf>
    <xf numFmtId="0" fontId="41" fillId="0" borderId="21" xfId="0" applyFont="1" applyBorder="1" applyAlignment="1">
      <alignment horizontal="center" vertical="center" wrapText="1"/>
    </xf>
    <xf numFmtId="3" fontId="40" fillId="0" borderId="0" xfId="0" applyNumberFormat="1" applyFont="1" applyAlignment="1">
      <alignment horizontal="right" vertical="center"/>
    </xf>
    <xf numFmtId="3" fontId="40" fillId="0" borderId="21" xfId="0" applyNumberFormat="1" applyFont="1" applyBorder="1" applyAlignment="1">
      <alignment horizontal="right" vertical="center"/>
    </xf>
    <xf numFmtId="3" fontId="41" fillId="0" borderId="21" xfId="0" applyNumberFormat="1" applyFont="1" applyBorder="1" applyAlignment="1">
      <alignment horizontal="right" vertical="center"/>
    </xf>
    <xf numFmtId="0" fontId="42" fillId="0" borderId="2" xfId="0" applyFont="1" applyBorder="1"/>
    <xf numFmtId="0" fontId="41" fillId="0" borderId="0" xfId="0" applyFont="1" applyBorder="1" applyAlignment="1">
      <alignment horizontal="left" vertical="center" wrapText="1"/>
    </xf>
    <xf numFmtId="0" fontId="41" fillId="0" borderId="0" xfId="0" applyFont="1" applyBorder="1" applyAlignment="1">
      <alignment vertical="center"/>
    </xf>
    <xf numFmtId="0" fontId="41" fillId="0" borderId="0" xfId="0" applyFont="1" applyBorder="1" applyAlignment="1">
      <alignment horizontal="right" vertical="center"/>
    </xf>
    <xf numFmtId="0" fontId="43" fillId="0" borderId="0" xfId="0" applyFont="1" applyAlignment="1">
      <alignment horizontal="left" vertical="center"/>
    </xf>
    <xf numFmtId="3" fontId="41" fillId="0" borderId="0" xfId="0" applyNumberFormat="1" applyFont="1" applyBorder="1" applyAlignment="1">
      <alignment horizontal="right" vertical="center"/>
    </xf>
    <xf numFmtId="0" fontId="41" fillId="0" borderId="21" xfId="0" applyFont="1" applyBorder="1" applyAlignment="1">
      <alignment vertical="center" wrapText="1"/>
    </xf>
    <xf numFmtId="0" fontId="40" fillId="0" borderId="21" xfId="0" applyFont="1" applyBorder="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3" fontId="41" fillId="0" borderId="0" xfId="0" applyNumberFormat="1" applyFont="1" applyAlignment="1">
      <alignment horizontal="right" vertical="center"/>
    </xf>
    <xf numFmtId="0" fontId="43" fillId="0" borderId="0" xfId="0" applyFont="1"/>
    <xf numFmtId="6" fontId="0" fillId="0" borderId="0" xfId="0" applyNumberFormat="1"/>
    <xf numFmtId="3" fontId="0" fillId="0" borderId="0" xfId="0" applyNumberFormat="1" applyBorder="1" applyAlignment="1">
      <alignment horizontal="center"/>
    </xf>
    <xf numFmtId="10" fontId="0" fillId="0" borderId="0" xfId="1" applyNumberFormat="1" applyFont="1" applyBorder="1"/>
    <xf numFmtId="3" fontId="40" fillId="0" borderId="0" xfId="0" applyNumberFormat="1" applyFont="1" applyAlignment="1">
      <alignment horizontal="center" vertical="center"/>
    </xf>
    <xf numFmtId="3" fontId="40" fillId="0" borderId="21" xfId="0" applyNumberFormat="1" applyFont="1" applyBorder="1" applyAlignment="1">
      <alignment horizontal="center" vertical="center"/>
    </xf>
    <xf numFmtId="3" fontId="0" fillId="0" borderId="0" xfId="0" applyNumberFormat="1" applyAlignment="1">
      <alignment vertical="center"/>
    </xf>
    <xf numFmtId="0" fontId="22" fillId="0" borderId="0" xfId="0" applyFont="1" applyFill="1" applyBorder="1"/>
    <xf numFmtId="0" fontId="22" fillId="0" borderId="0" xfId="0" applyFont="1"/>
    <xf numFmtId="3" fontId="22" fillId="0" borderId="0" xfId="0" applyNumberFormat="1" applyFont="1"/>
    <xf numFmtId="0" fontId="3" fillId="0" borderId="0" xfId="0" applyFont="1" applyFill="1" applyAlignment="1">
      <alignment horizontal="left" vertical="center" wrapText="1"/>
    </xf>
    <xf numFmtId="3" fontId="3" fillId="0" borderId="0" xfId="0" applyNumberFormat="1" applyFont="1" applyFill="1"/>
    <xf numFmtId="9" fontId="0" fillId="0" borderId="0" xfId="1" applyFont="1"/>
    <xf numFmtId="2" fontId="0" fillId="0" borderId="0" xfId="1" applyNumberFormat="1" applyFont="1"/>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0" fontId="0" fillId="0" borderId="26" xfId="0" applyNumberFormat="1" applyBorder="1" applyAlignment="1">
      <alignment horizontal="center" vertical="center"/>
    </xf>
    <xf numFmtId="10" fontId="0" fillId="0" borderId="27" xfId="0" applyNumberFormat="1" applyBorder="1" applyAlignment="1">
      <alignment horizontal="center" vertical="center"/>
    </xf>
    <xf numFmtId="3" fontId="0" fillId="0" borderId="27" xfId="0" applyNumberFormat="1" applyBorder="1" applyAlignment="1">
      <alignment horizontal="center" vertical="center"/>
    </xf>
    <xf numFmtId="2" fontId="0" fillId="0" borderId="27" xfId="0" applyNumberFormat="1" applyBorder="1" applyAlignment="1">
      <alignment horizontal="center" vertical="center"/>
    </xf>
    <xf numFmtId="3" fontId="0" fillId="0" borderId="28" xfId="0" applyNumberFormat="1" applyBorder="1" applyAlignment="1">
      <alignment horizontal="center" vertical="center"/>
    </xf>
    <xf numFmtId="0" fontId="0" fillId="0" borderId="4" xfId="0" applyBorder="1" applyAlignment="1">
      <alignment horizontal="center" vertical="center"/>
    </xf>
    <xf numFmtId="0" fontId="13" fillId="0" borderId="0" xfId="0" applyFont="1" applyFill="1"/>
    <xf numFmtId="10" fontId="13" fillId="0" borderId="0" xfId="0" applyNumberFormat="1" applyFont="1" applyFill="1"/>
    <xf numFmtId="8" fontId="13" fillId="0" borderId="0" xfId="0" applyNumberFormat="1" applyFont="1" applyFill="1"/>
    <xf numFmtId="0" fontId="0" fillId="0" borderId="0" xfId="0" applyFill="1"/>
    <xf numFmtId="0" fontId="45" fillId="5" borderId="32" xfId="0" applyFont="1" applyFill="1" applyBorder="1"/>
    <xf numFmtId="0" fontId="45" fillId="5" borderId="33" xfId="0" applyFont="1" applyFill="1" applyBorder="1"/>
    <xf numFmtId="3" fontId="46" fillId="5" borderId="35" xfId="0" applyNumberFormat="1" applyFont="1" applyFill="1" applyBorder="1" applyAlignment="1">
      <alignment horizontal="center" vertical="center"/>
    </xf>
    <xf numFmtId="3" fontId="46" fillId="5" borderId="36" xfId="0" applyNumberFormat="1" applyFont="1" applyFill="1" applyBorder="1" applyAlignment="1">
      <alignment horizontal="center" vertical="center"/>
    </xf>
    <xf numFmtId="2" fontId="46" fillId="5" borderId="36" xfId="0" applyNumberFormat="1" applyFont="1" applyFill="1" applyBorder="1" applyAlignment="1">
      <alignment horizontal="center" vertical="center"/>
    </xf>
    <xf numFmtId="10" fontId="46" fillId="5" borderId="36" xfId="0" applyNumberFormat="1" applyFont="1" applyFill="1" applyBorder="1" applyAlignment="1">
      <alignment horizontal="center" vertical="center"/>
    </xf>
    <xf numFmtId="10" fontId="46" fillId="5" borderId="37" xfId="0" applyNumberFormat="1" applyFont="1" applyFill="1" applyBorder="1" applyAlignment="1">
      <alignment horizontal="center" vertical="center"/>
    </xf>
    <xf numFmtId="178" fontId="46" fillId="5" borderId="36" xfId="3" applyNumberFormat="1" applyFont="1" applyFill="1" applyBorder="1" applyAlignment="1">
      <alignment horizontal="center" vertical="center"/>
    </xf>
    <xf numFmtId="3" fontId="21" fillId="7" borderId="38" xfId="0" applyNumberFormat="1" applyFont="1" applyFill="1" applyBorder="1" applyAlignment="1">
      <alignment horizontal="center" vertical="center"/>
    </xf>
    <xf numFmtId="3" fontId="21" fillId="7" borderId="30" xfId="0" applyNumberFormat="1" applyFont="1" applyFill="1" applyBorder="1" applyAlignment="1">
      <alignment horizontal="center" vertical="center"/>
    </xf>
    <xf numFmtId="178" fontId="21" fillId="7" borderId="30" xfId="3" applyNumberFormat="1" applyFont="1" applyFill="1" applyBorder="1" applyAlignment="1">
      <alignment horizontal="center" vertical="center"/>
    </xf>
    <xf numFmtId="2" fontId="21" fillId="7" borderId="30" xfId="0" applyNumberFormat="1" applyFont="1" applyFill="1" applyBorder="1" applyAlignment="1">
      <alignment horizontal="center" vertical="center"/>
    </xf>
    <xf numFmtId="10" fontId="21" fillId="7" borderId="30" xfId="0" applyNumberFormat="1" applyFont="1" applyFill="1" applyBorder="1" applyAlignment="1">
      <alignment horizontal="center" vertical="center"/>
    </xf>
    <xf numFmtId="10" fontId="21" fillId="7" borderId="39" xfId="0" applyNumberFormat="1" applyFont="1" applyFill="1" applyBorder="1" applyAlignment="1">
      <alignment horizontal="center" vertical="center"/>
    </xf>
    <xf numFmtId="9" fontId="51" fillId="8" borderId="0" xfId="1" applyFont="1" applyFill="1"/>
    <xf numFmtId="0" fontId="45" fillId="5" borderId="40" xfId="0" applyFont="1" applyFill="1" applyBorder="1" applyAlignment="1">
      <alignment horizontal="center"/>
    </xf>
    <xf numFmtId="0" fontId="45" fillId="5" borderId="41" xfId="0" applyFont="1" applyFill="1" applyBorder="1" applyAlignment="1">
      <alignment horizontal="center"/>
    </xf>
    <xf numFmtId="9" fontId="45" fillId="5" borderId="42" xfId="0" applyNumberFormat="1" applyFont="1" applyFill="1" applyBorder="1"/>
    <xf numFmtId="3" fontId="45" fillId="5" borderId="43" xfId="0" applyNumberFormat="1" applyFont="1" applyFill="1" applyBorder="1"/>
    <xf numFmtId="9" fontId="45" fillId="5" borderId="44" xfId="0" applyNumberFormat="1" applyFont="1" applyFill="1" applyBorder="1"/>
    <xf numFmtId="3" fontId="45" fillId="5" borderId="45" xfId="0" applyNumberFormat="1" applyFont="1" applyFill="1" applyBorder="1"/>
    <xf numFmtId="0" fontId="31" fillId="0" borderId="0" xfId="0" applyFont="1" applyBorder="1" applyAlignment="1">
      <alignment horizontal="left"/>
    </xf>
    <xf numFmtId="0" fontId="33" fillId="0" borderId="2" xfId="0" applyFont="1" applyBorder="1" applyAlignment="1">
      <alignment horizontal="left"/>
    </xf>
    <xf numFmtId="0" fontId="33" fillId="0" borderId="2" xfId="0" quotePrefix="1" applyFont="1" applyBorder="1" applyAlignment="1">
      <alignment horizontal="left"/>
    </xf>
    <xf numFmtId="0" fontId="3" fillId="0" borderId="0" xfId="0" applyFont="1" applyAlignment="1">
      <alignment horizontal="center"/>
    </xf>
    <xf numFmtId="0" fontId="1" fillId="0" borderId="0" xfId="0" applyFont="1" applyAlignment="1">
      <alignment horizontal="center"/>
    </xf>
    <xf numFmtId="0" fontId="31" fillId="0" borderId="0" xfId="0" quotePrefix="1" applyFont="1" applyBorder="1" applyAlignment="1">
      <alignment horizontal="left"/>
    </xf>
    <xf numFmtId="0" fontId="33" fillId="0" borderId="0" xfId="0" applyFont="1" applyBorder="1" applyAlignment="1">
      <alignment horizontal="left"/>
    </xf>
    <xf numFmtId="0" fontId="33" fillId="0" borderId="0" xfId="0" quotePrefix="1" applyFont="1" applyBorder="1" applyAlignment="1">
      <alignment horizontal="left"/>
    </xf>
    <xf numFmtId="0" fontId="30" fillId="0" borderId="0" xfId="0" applyFont="1" applyBorder="1" applyAlignment="1">
      <alignment horizontal="left"/>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Border="1" applyAlignment="1">
      <alignment horizontal="center"/>
    </xf>
    <xf numFmtId="0" fontId="41" fillId="0" borderId="22" xfId="0" applyFont="1" applyBorder="1" applyAlignment="1">
      <alignment horizontal="center" vertical="center" wrapText="1"/>
    </xf>
    <xf numFmtId="0" fontId="41" fillId="0" borderId="21" xfId="0" applyFont="1" applyBorder="1" applyAlignment="1">
      <alignment horizontal="center" vertical="center" wrapText="1"/>
    </xf>
    <xf numFmtId="0" fontId="3" fillId="0" borderId="0" xfId="0" applyFont="1" applyAlignment="1">
      <alignment horizontal="center" vertical="center"/>
    </xf>
    <xf numFmtId="0" fontId="27" fillId="0" borderId="1" xfId="0" applyFont="1" applyBorder="1" applyAlignment="1">
      <alignment horizontal="center"/>
    </xf>
    <xf numFmtId="0" fontId="28" fillId="0" borderId="2" xfId="0" quotePrefix="1" applyFont="1" applyBorder="1" applyAlignment="1">
      <alignment horizontal="center" vertical="center" wrapText="1"/>
    </xf>
    <xf numFmtId="0" fontId="30" fillId="0" borderId="0" xfId="0" applyFont="1" applyBorder="1" applyAlignment="1">
      <alignment horizontal="left" vertical="center" wrapText="1"/>
    </xf>
    <xf numFmtId="0" fontId="18" fillId="0" borderId="3" xfId="0" applyFont="1" applyBorder="1" applyAlignment="1">
      <alignment horizontal="center" vertical="center" wrapText="1"/>
    </xf>
    <xf numFmtId="0" fontId="18" fillId="0" borderId="3" xfId="0" quotePrefix="1" applyFont="1" applyBorder="1" applyAlignment="1">
      <alignment horizontal="center" vertical="center" wrapText="1"/>
    </xf>
    <xf numFmtId="0" fontId="18" fillId="0" borderId="1" xfId="0" quotePrefix="1" applyFont="1" applyBorder="1" applyAlignment="1">
      <alignment horizontal="center" vertical="center" wrapText="1"/>
    </xf>
    <xf numFmtId="0" fontId="28" fillId="0" borderId="2" xfId="0" applyFont="1" applyBorder="1" applyAlignment="1">
      <alignment horizontal="center" vertical="center" wrapText="1"/>
    </xf>
    <xf numFmtId="0" fontId="35" fillId="0" borderId="1" xfId="0" applyFont="1" applyBorder="1" applyAlignment="1">
      <alignment horizontal="center"/>
    </xf>
    <xf numFmtId="0" fontId="37" fillId="0" borderId="1" xfId="0" quotePrefix="1" applyFont="1" applyBorder="1" applyAlignment="1">
      <alignment horizontal="center"/>
    </xf>
    <xf numFmtId="0" fontId="18" fillId="0" borderId="0" xfId="0" applyFont="1" applyBorder="1" applyAlignment="1">
      <alignment horizontal="center" vertical="center" wrapText="1"/>
    </xf>
    <xf numFmtId="0" fontId="37" fillId="0" borderId="3" xfId="0" applyFont="1" applyBorder="1" applyAlignment="1">
      <alignment horizontal="center"/>
    </xf>
    <xf numFmtId="0" fontId="37" fillId="0" borderId="3" xfId="0" quotePrefix="1" applyFont="1" applyBorder="1" applyAlignment="1">
      <alignment horizontal="center"/>
    </xf>
    <xf numFmtId="0" fontId="4" fillId="0" borderId="0" xfId="0" applyFont="1" applyBorder="1" applyAlignment="1">
      <alignment horizontal="center" vertical="center"/>
    </xf>
    <xf numFmtId="0" fontId="0" fillId="0" borderId="2" xfId="0" applyBorder="1" applyAlignment="1">
      <alignment horizontal="center" vertical="center" wrapText="1"/>
    </xf>
    <xf numFmtId="0" fontId="4" fillId="0" borderId="1" xfId="0" applyFont="1" applyBorder="1" applyAlignment="1">
      <alignment horizontal="center"/>
    </xf>
    <xf numFmtId="0" fontId="0" fillId="0" borderId="1" xfId="0" applyBorder="1" applyAlignment="1">
      <alignment horizontal="center"/>
    </xf>
    <xf numFmtId="0" fontId="18" fillId="0" borderId="2" xfId="0" quotePrefix="1" applyFont="1" applyBorder="1" applyAlignment="1">
      <alignment horizontal="center"/>
    </xf>
    <xf numFmtId="0" fontId="18" fillId="0" borderId="2" xfId="0" applyFont="1" applyBorder="1" applyAlignment="1">
      <alignment horizontal="center"/>
    </xf>
    <xf numFmtId="0" fontId="37" fillId="0" borderId="0" xfId="0" quotePrefix="1" applyFont="1" applyBorder="1" applyAlignment="1">
      <alignment horizontal="center"/>
    </xf>
    <xf numFmtId="0" fontId="18" fillId="0" borderId="2" xfId="0" applyFont="1" applyBorder="1" applyAlignment="1">
      <alignment horizontal="center" vertical="center" wrapText="1"/>
    </xf>
    <xf numFmtId="0" fontId="35" fillId="0" borderId="1" xfId="0" quotePrefix="1" applyFont="1" applyBorder="1" applyAlignment="1">
      <alignment horizontal="center"/>
    </xf>
    <xf numFmtId="0" fontId="19" fillId="0" borderId="2" xfId="0" applyFont="1" applyBorder="1" applyAlignment="1">
      <alignment horizontal="center" vertical="center" wrapText="1"/>
    </xf>
    <xf numFmtId="0" fontId="1" fillId="0" borderId="0" xfId="0" applyFont="1" applyAlignment="1">
      <alignment horizontal="center" vertical="center"/>
    </xf>
    <xf numFmtId="0" fontId="38" fillId="0" borderId="0" xfId="0" applyFont="1" applyFill="1" applyBorder="1" applyAlignment="1">
      <alignment horizontal="center"/>
    </xf>
    <xf numFmtId="0" fontId="19" fillId="0" borderId="2" xfId="0" applyFont="1" applyFill="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xf>
    <xf numFmtId="0" fontId="0" fillId="0" borderId="0" xfId="0" applyFont="1" applyAlignment="1">
      <alignment horizontal="center"/>
    </xf>
    <xf numFmtId="0" fontId="44" fillId="0" borderId="7" xfId="0" applyFont="1" applyBorder="1" applyAlignment="1">
      <alignment horizontal="center" vertical="center"/>
    </xf>
    <xf numFmtId="0" fontId="44" fillId="0" borderId="0"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7" fillId="0" borderId="4"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25" fillId="0" borderId="0" xfId="0" applyFont="1" applyBorder="1" applyAlignment="1">
      <alignment horizontal="center" vertical="center"/>
    </xf>
    <xf numFmtId="0" fontId="6" fillId="0" borderId="6"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horizontal="center"/>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0" xfId="0" applyBorder="1" applyAlignment="1">
      <alignment horizontal="center"/>
    </xf>
    <xf numFmtId="0" fontId="8" fillId="0" borderId="1" xfId="0" applyFont="1" applyBorder="1" applyAlignment="1">
      <alignment horizontal="center"/>
    </xf>
    <xf numFmtId="0" fontId="8" fillId="0" borderId="0" xfId="0" applyFont="1" applyBorder="1" applyAlignment="1">
      <alignment horizontal="center"/>
    </xf>
    <xf numFmtId="3" fontId="11" fillId="0" borderId="1" xfId="0" applyNumberFormat="1" applyFont="1" applyBorder="1" applyAlignment="1">
      <alignment horizontal="center"/>
    </xf>
    <xf numFmtId="3" fontId="0" fillId="2" borderId="11" xfId="0" quotePrefix="1" applyNumberFormat="1" applyFill="1" applyBorder="1" applyAlignment="1">
      <alignment horizontal="center"/>
    </xf>
    <xf numFmtId="3" fontId="0" fillId="2" borderId="6" xfId="0" quotePrefix="1" applyNumberFormat="1" applyFill="1" applyBorder="1" applyAlignment="1">
      <alignment horizontal="center"/>
    </xf>
    <xf numFmtId="3" fontId="0" fillId="0" borderId="11" xfId="0" quotePrefix="1" applyNumberFormat="1" applyBorder="1" applyAlignment="1">
      <alignment horizontal="center"/>
    </xf>
    <xf numFmtId="3" fontId="0" fillId="0" borderId="6" xfId="0" quotePrefix="1" applyNumberFormat="1" applyBorder="1" applyAlignment="1">
      <alignment horizontal="center"/>
    </xf>
    <xf numFmtId="3" fontId="0" fillId="2" borderId="11" xfId="0" applyNumberFormat="1" applyFill="1" applyBorder="1" applyAlignment="1">
      <alignment horizontal="center"/>
    </xf>
    <xf numFmtId="3" fontId="0" fillId="2" borderId="6" xfId="0" applyNumberFormat="1" applyFill="1" applyBorder="1" applyAlignment="1">
      <alignment horizontal="center"/>
    </xf>
    <xf numFmtId="0" fontId="0" fillId="2" borderId="4" xfId="0" applyFill="1" applyBorder="1" applyAlignment="1">
      <alignment horizontal="center"/>
    </xf>
    <xf numFmtId="0" fontId="9" fillId="0" borderId="11" xfId="0" applyFont="1" applyBorder="1" applyAlignment="1">
      <alignment horizontal="center"/>
    </xf>
    <xf numFmtId="0" fontId="9" fillId="0" borderId="6" xfId="0" applyFont="1" applyBorder="1" applyAlignment="1">
      <alignment horizontal="center"/>
    </xf>
    <xf numFmtId="0" fontId="21" fillId="6" borderId="0" xfId="0" applyFont="1" applyFill="1" applyBorder="1" applyAlignment="1">
      <alignment horizontal="center"/>
    </xf>
    <xf numFmtId="0" fontId="10" fillId="0" borderId="0"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xf>
    <xf numFmtId="0" fontId="45" fillId="5" borderId="31" xfId="0" applyFont="1" applyFill="1" applyBorder="1" applyAlignment="1">
      <alignment horizontal="center" vertical="center"/>
    </xf>
    <xf numFmtId="0" fontId="45" fillId="5" borderId="34" xfId="0" applyFont="1" applyFill="1" applyBorder="1" applyAlignment="1">
      <alignment horizontal="center" vertical="center"/>
    </xf>
    <xf numFmtId="0" fontId="49" fillId="8" borderId="0" xfId="0" applyFont="1" applyFill="1" applyAlignment="1">
      <alignment horizontal="center" vertical="center"/>
    </xf>
    <xf numFmtId="0" fontId="48" fillId="0" borderId="1" xfId="0" applyFont="1" applyBorder="1" applyAlignment="1">
      <alignment horizontal="center"/>
    </xf>
    <xf numFmtId="0" fontId="13" fillId="5" borderId="0" xfId="0" applyFont="1" applyFill="1" applyAlignment="1">
      <alignment horizontal="center" vertical="center"/>
    </xf>
    <xf numFmtId="0" fontId="13" fillId="8" borderId="0" xfId="0" applyFont="1" applyFill="1" applyAlignment="1">
      <alignment horizontal="center"/>
    </xf>
    <xf numFmtId="0" fontId="45" fillId="5" borderId="29" xfId="0" applyFont="1" applyFill="1" applyBorder="1" applyAlignment="1">
      <alignment horizontal="center"/>
    </xf>
    <xf numFmtId="0" fontId="45" fillId="5" borderId="30" xfId="0" applyFont="1" applyFill="1" applyBorder="1" applyAlignment="1">
      <alignment horizontal="center"/>
    </xf>
    <xf numFmtId="0" fontId="45" fillId="5" borderId="30" xfId="0" applyFont="1" applyFill="1" applyBorder="1" applyAlignment="1">
      <alignment horizontal="center" vertical="center"/>
    </xf>
    <xf numFmtId="0" fontId="45" fillId="5" borderId="33" xfId="0" applyFont="1" applyFill="1" applyBorder="1" applyAlignment="1">
      <alignment horizontal="center" vertical="center"/>
    </xf>
    <xf numFmtId="0" fontId="50" fillId="8" borderId="0" xfId="0" applyFont="1" applyFill="1" applyAlignment="1">
      <alignment horizontal="center"/>
    </xf>
    <xf numFmtId="0" fontId="49" fillId="5" borderId="0" xfId="0" applyFont="1" applyFill="1" applyAlignment="1">
      <alignment horizontal="center" vertical="center"/>
    </xf>
    <xf numFmtId="0" fontId="52" fillId="5" borderId="0" xfId="0" applyFont="1" applyFill="1" applyAlignment="1">
      <alignment horizontal="center"/>
    </xf>
    <xf numFmtId="0" fontId="51" fillId="8" borderId="0" xfId="0" applyFont="1" applyFill="1" applyAlignment="1">
      <alignment horizontal="center"/>
    </xf>
    <xf numFmtId="0" fontId="47" fillId="5" borderId="0" xfId="0" applyFont="1" applyFill="1" applyAlignment="1">
      <alignment horizontal="center"/>
    </xf>
  </cellXfs>
  <cellStyles count="4">
    <cellStyle name="Millares" xfId="2" builtinId="3"/>
    <cellStyle name="Moneda" xfId="3"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400"/>
              <a:t>PUNTO DE EQUILIBRIO AÑO</a:t>
            </a:r>
            <a:r>
              <a:rPr lang="es-CO" sz="1400" baseline="0"/>
              <a:t> 1</a:t>
            </a:r>
            <a:endParaRPr lang="es-CO" sz="1400"/>
          </a:p>
        </c:rich>
      </c:tx>
      <c:overlay val="0"/>
    </c:title>
    <c:autoTitleDeleted val="0"/>
    <c:plotArea>
      <c:layout/>
      <c:lineChart>
        <c:grouping val="standard"/>
        <c:varyColors val="0"/>
        <c:ser>
          <c:idx val="0"/>
          <c:order val="0"/>
          <c:tx>
            <c:strRef>
              <c:f>Hoja10!$C$46</c:f>
              <c:strCache>
                <c:ptCount val="1"/>
                <c:pt idx="0">
                  <c:v>VENTAS</c:v>
                </c:pt>
              </c:strCache>
            </c:strRef>
          </c:tx>
          <c:marker>
            <c:symbol val="none"/>
          </c:marker>
          <c:cat>
            <c:numRef>
              <c:f>Hoja10!$B$47:$B$48</c:f>
              <c:numCache>
                <c:formatCode>#,##0</c:formatCode>
                <c:ptCount val="2"/>
                <c:pt idx="0">
                  <c:v>0</c:v>
                </c:pt>
                <c:pt idx="1">
                  <c:v>333000</c:v>
                </c:pt>
              </c:numCache>
            </c:numRef>
          </c:cat>
          <c:val>
            <c:numRef>
              <c:f>Hoja10!$C$47:$C$48</c:f>
              <c:numCache>
                <c:formatCode>#,##0</c:formatCode>
                <c:ptCount val="2"/>
                <c:pt idx="0">
                  <c:v>0</c:v>
                </c:pt>
                <c:pt idx="1">
                  <c:v>147605000</c:v>
                </c:pt>
              </c:numCache>
            </c:numRef>
          </c:val>
          <c:smooth val="0"/>
        </c:ser>
        <c:ser>
          <c:idx val="1"/>
          <c:order val="1"/>
          <c:tx>
            <c:strRef>
              <c:f>Hoja10!$D$46</c:f>
              <c:strCache>
                <c:ptCount val="1"/>
                <c:pt idx="0">
                  <c:v>C. FIJOS</c:v>
                </c:pt>
              </c:strCache>
            </c:strRef>
          </c:tx>
          <c:marker>
            <c:symbol val="none"/>
          </c:marker>
          <c:cat>
            <c:numRef>
              <c:f>Hoja10!$B$47:$B$48</c:f>
              <c:numCache>
                <c:formatCode>#,##0</c:formatCode>
                <c:ptCount val="2"/>
                <c:pt idx="0">
                  <c:v>0</c:v>
                </c:pt>
                <c:pt idx="1">
                  <c:v>333000</c:v>
                </c:pt>
              </c:numCache>
            </c:numRef>
          </c:cat>
          <c:val>
            <c:numRef>
              <c:f>Hoja10!$D$47:$D$48</c:f>
              <c:numCache>
                <c:formatCode>#,##0.00</c:formatCode>
                <c:ptCount val="2"/>
                <c:pt idx="0">
                  <c:v>53239521.436576009</c:v>
                </c:pt>
                <c:pt idx="1">
                  <c:v>53239521.436576009</c:v>
                </c:pt>
              </c:numCache>
            </c:numRef>
          </c:val>
          <c:smooth val="0"/>
        </c:ser>
        <c:ser>
          <c:idx val="2"/>
          <c:order val="2"/>
          <c:tx>
            <c:strRef>
              <c:f>Hoja10!$E$46</c:f>
              <c:strCache>
                <c:ptCount val="1"/>
                <c:pt idx="0">
                  <c:v>C.TOTALES</c:v>
                </c:pt>
              </c:strCache>
            </c:strRef>
          </c:tx>
          <c:marker>
            <c:symbol val="none"/>
          </c:marker>
          <c:cat>
            <c:numRef>
              <c:f>Hoja10!$B$47:$B$48</c:f>
              <c:numCache>
                <c:formatCode>#,##0</c:formatCode>
                <c:ptCount val="2"/>
                <c:pt idx="0">
                  <c:v>0</c:v>
                </c:pt>
                <c:pt idx="1">
                  <c:v>333000</c:v>
                </c:pt>
              </c:numCache>
            </c:numRef>
          </c:cat>
          <c:val>
            <c:numRef>
              <c:f>Hoja10!$E$47:$E$48</c:f>
              <c:numCache>
                <c:formatCode>#,##0.00</c:formatCode>
                <c:ptCount val="2"/>
                <c:pt idx="0">
                  <c:v>53239521.436576009</c:v>
                </c:pt>
                <c:pt idx="1">
                  <c:v>138998148.83545601</c:v>
                </c:pt>
              </c:numCache>
            </c:numRef>
          </c:val>
          <c:smooth val="0"/>
        </c:ser>
        <c:dLbls>
          <c:showLegendKey val="0"/>
          <c:showVal val="0"/>
          <c:showCatName val="0"/>
          <c:showSerName val="0"/>
          <c:showPercent val="0"/>
          <c:showBubbleSize val="0"/>
        </c:dLbls>
        <c:marker val="1"/>
        <c:smooth val="0"/>
        <c:axId val="108455040"/>
        <c:axId val="108456576"/>
      </c:lineChart>
      <c:catAx>
        <c:axId val="108455040"/>
        <c:scaling>
          <c:orientation val="minMax"/>
        </c:scaling>
        <c:delete val="0"/>
        <c:axPos val="b"/>
        <c:numFmt formatCode="#,##0" sourceLinked="1"/>
        <c:majorTickMark val="none"/>
        <c:minorTickMark val="none"/>
        <c:tickLblPos val="none"/>
        <c:crossAx val="108456576"/>
        <c:crosses val="autoZero"/>
        <c:auto val="1"/>
        <c:lblAlgn val="ctr"/>
        <c:lblOffset val="100"/>
        <c:noMultiLvlLbl val="0"/>
      </c:catAx>
      <c:valAx>
        <c:axId val="10845657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200"/>
            </a:pPr>
            <a:endParaRPr lang="es-CO"/>
          </a:p>
        </c:txPr>
        <c:crossAx val="108455040"/>
        <c:crosses val="autoZero"/>
        <c:crossBetween val="midCat"/>
        <c:majorUnit val="10"/>
      </c:valAx>
      <c:spPr>
        <a:noFill/>
        <a:ln>
          <a:solidFill>
            <a:schemeClr val="bg1">
              <a:lumMod val="85000"/>
            </a:schemeClr>
          </a:solidFill>
        </a:ln>
      </c:spPr>
    </c:plotArea>
    <c:legend>
      <c:legendPos val="b"/>
      <c:overlay val="0"/>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a:scene3d>
      <a:camera prst="orthographicFront"/>
      <a:lightRig rig="threePt" dir="t"/>
    </a:scene3d>
    <a:sp3d prstMaterial="matte">
      <a:bevelT/>
    </a:sp3d>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Hoja12!$E$70</c:f>
              <c:strCache>
                <c:ptCount val="1"/>
                <c:pt idx="0">
                  <c:v>VPN</c:v>
                </c:pt>
              </c:strCache>
            </c:strRef>
          </c:tx>
          <c:marker>
            <c:symbol val="none"/>
          </c:marker>
          <c:cat>
            <c:numRef>
              <c:f>Hoja12!$D$71:$D$151</c:f>
              <c:numCache>
                <c:formatCode>0%</c:formatCode>
                <c:ptCount val="81"/>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numCache>
            </c:numRef>
          </c:cat>
          <c:val>
            <c:numRef>
              <c:f>Hoja12!$E$71:$E$151</c:f>
              <c:numCache>
                <c:formatCode>#,##0</c:formatCode>
                <c:ptCount val="81"/>
                <c:pt idx="0">
                  <c:v>133211916.48530218</c:v>
                </c:pt>
                <c:pt idx="1">
                  <c:v>126960814.26435015</c:v>
                </c:pt>
                <c:pt idx="2">
                  <c:v>121034666.15703386</c:v>
                </c:pt>
                <c:pt idx="3">
                  <c:v>115413305.24889679</c:v>
                </c:pt>
                <c:pt idx="4">
                  <c:v>110078010.25777395</c:v>
                </c:pt>
                <c:pt idx="5">
                  <c:v>105011388.55453882</c:v>
                </c:pt>
                <c:pt idx="6">
                  <c:v>100197269.6937236</c:v>
                </c:pt>
                <c:pt idx="7">
                  <c:v>95620608.418686986</c:v>
                </c:pt>
                <c:pt idx="8">
                  <c:v>91267396.216732576</c:v>
                </c:pt>
                <c:pt idx="9">
                  <c:v>87124580.597557157</c:v>
                </c:pt>
                <c:pt idx="10">
                  <c:v>83179991.355197459</c:v>
                </c:pt>
                <c:pt idx="11">
                  <c:v>79422273.150620192</c:v>
                </c:pt>
                <c:pt idx="12">
                  <c:v>75840823.820443079</c:v>
                </c:pt>
                <c:pt idx="13">
                  <c:v>72425737.878028691</c:v>
                </c:pt>
                <c:pt idx="14">
                  <c:v>69167754.727250949</c:v>
                </c:pt>
                <c:pt idx="15">
                  <c:v>66058211.157398373</c:v>
                </c:pt>
                <c:pt idx="16">
                  <c:v>63088997.730618805</c:v>
                </c:pt>
                <c:pt idx="17">
                  <c:v>60252518.711658776</c:v>
                </c:pt>
                <c:pt idx="18">
                  <c:v>57541655.223903328</c:v>
                </c:pt>
                <c:pt idx="19">
                  <c:v>54949731.346376091</c:v>
                </c:pt>
                <c:pt idx="20">
                  <c:v>52470482.893797189</c:v>
                </c:pt>
                <c:pt idx="21">
                  <c:v>50098028.64639388</c:v>
                </c:pt>
                <c:pt idx="22">
                  <c:v>47826843.818223432</c:v>
                </c:pt>
                <c:pt idx="23">
                  <c:v>45651735.572582014</c:v>
                </c:pt>
                <c:pt idx="24">
                  <c:v>43567820.410882153</c:v>
                </c:pt>
                <c:pt idx="25">
                  <c:v>41570503.277402543</c:v>
                </c:pt>
                <c:pt idx="26">
                  <c:v>39655458.236739784</c:v>
                </c:pt>
                <c:pt idx="27">
                  <c:v>37818610.593792655</c:v>
                </c:pt>
                <c:pt idx="28">
                  <c:v>36056120.337835208</c:v>
                </c:pt>
                <c:pt idx="29">
                  <c:v>34364366.8028225</c:v>
                </c:pt>
                <c:pt idx="30">
                  <c:v>32739934.445635937</c:v>
                </c:pt>
                <c:pt idx="31">
                  <c:v>31179599.652625836</c:v>
                </c:pt>
                <c:pt idx="32">
                  <c:v>29680318.492634498</c:v>
                </c:pt>
                <c:pt idx="33">
                  <c:v>28239215.341773689</c:v>
                </c:pt>
                <c:pt idx="34">
                  <c:v>26853572.311655201</c:v>
                </c:pt>
                <c:pt idx="35">
                  <c:v>25520819.418602802</c:v>
                </c:pt>
                <c:pt idx="36">
                  <c:v>24238525.436665133</c:v>
                </c:pt>
                <c:pt idx="37">
                  <c:v>23004389.382056952</c:v>
                </c:pt>
                <c:pt idx="38">
                  <c:v>21816232.581026904</c:v>
                </c:pt>
                <c:pt idx="39">
                  <c:v>20671991.277125604</c:v>
                </c:pt>
                <c:pt idx="40">
                  <c:v>19569709.737470746</c:v>
                </c:pt>
                <c:pt idx="41">
                  <c:v>18507533.820901871</c:v>
                </c:pt>
                <c:pt idx="42">
                  <c:v>17483704.973928124</c:v>
                </c:pt>
                <c:pt idx="43">
                  <c:v>16496554.623114277</c:v>
                </c:pt>
                <c:pt idx="44">
                  <c:v>15544498.935057249</c:v>
                </c:pt>
                <c:pt idx="45">
                  <c:v>14626033.917393781</c:v>
                </c:pt>
                <c:pt idx="46">
                  <c:v>13739730.836372752</c:v>
                </c:pt>
                <c:pt idx="47">
                  <c:v>12884231.928439979</c:v>
                </c:pt>
                <c:pt idx="48">
                  <c:v>12058246.385035936</c:v>
                </c:pt>
                <c:pt idx="49">
                  <c:v>11260546.591411728</c:v>
                </c:pt>
                <c:pt idx="50">
                  <c:v>10489964.601739939</c:v>
                </c:pt>
                <c:pt idx="51">
                  <c:v>9745388.8341463692</c:v>
                </c:pt>
                <c:pt idx="52">
                  <c:v>9025760.9705264904</c:v>
                </c:pt>
                <c:pt idx="53">
                  <c:v>8330073.0471474566</c:v>
                </c:pt>
                <c:pt idx="54">
                  <c:v>7657364.7230809741</c:v>
                </c:pt>
                <c:pt idx="55">
                  <c:v>7006720.714472387</c:v>
                </c:pt>
                <c:pt idx="56">
                  <c:v>6377268.3835345916</c:v>
                </c:pt>
                <c:pt idx="57">
                  <c:v>5768175.4719679616</c:v>
                </c:pt>
                <c:pt idx="58">
                  <c:v>5178647.9692561552</c:v>
                </c:pt>
                <c:pt idx="59">
                  <c:v>4607928.1069771945</c:v>
                </c:pt>
                <c:pt idx="60">
                  <c:v>4055292.4709043689</c:v>
                </c:pt>
                <c:pt idx="61">
                  <c:v>3520050.2232589498</c:v>
                </c:pt>
                <c:pt idx="62">
                  <c:v>3001541.4280161895</c:v>
                </c:pt>
                <c:pt idx="63">
                  <c:v>2499135.4726673998</c:v>
                </c:pt>
                <c:pt idx="64">
                  <c:v>2012229.5803006291</c:v>
                </c:pt>
                <c:pt idx="65">
                  <c:v>1540247.4062906541</c:v>
                </c:pt>
                <c:pt idx="66">
                  <c:v>1082637.7142819613</c:v>
                </c:pt>
                <c:pt idx="67">
                  <c:v>638873.12651457265</c:v>
                </c:pt>
                <c:pt idx="68">
                  <c:v>208448.94387930818</c:v>
                </c:pt>
                <c:pt idx="69">
                  <c:v>-209117.96859719232</c:v>
                </c:pt>
                <c:pt idx="70">
                  <c:v>-614290.2348483745</c:v>
                </c:pt>
                <c:pt idx="71">
                  <c:v>-1007510.9631857574</c:v>
                </c:pt>
                <c:pt idx="72">
                  <c:v>-1389204.6875317711</c:v>
                </c:pt>
                <c:pt idx="73">
                  <c:v>-1759778.2577284425</c:v>
                </c:pt>
                <c:pt idx="74">
                  <c:v>-2119621.6819685977</c:v>
                </c:pt>
                <c:pt idx="75">
                  <c:v>-2469108.9241968859</c:v>
                </c:pt>
                <c:pt idx="76">
                  <c:v>-2808598.6591427587</c:v>
                </c:pt>
                <c:pt idx="77">
                  <c:v>-3138434.9874753058</c:v>
                </c:pt>
                <c:pt idx="78">
                  <c:v>-3458948.1134100314</c:v>
                </c:pt>
                <c:pt idx="79">
                  <c:v>-3770454.9869484846</c:v>
                </c:pt>
                <c:pt idx="80">
                  <c:v>-4073259.9127932843</c:v>
                </c:pt>
              </c:numCache>
            </c:numRef>
          </c:val>
          <c:smooth val="0"/>
        </c:ser>
        <c:dLbls>
          <c:showLegendKey val="0"/>
          <c:showVal val="0"/>
          <c:showCatName val="0"/>
          <c:showSerName val="0"/>
          <c:showPercent val="0"/>
          <c:showBubbleSize val="0"/>
        </c:dLbls>
        <c:marker val="1"/>
        <c:smooth val="0"/>
        <c:axId val="208735616"/>
        <c:axId val="208745600"/>
      </c:lineChart>
      <c:catAx>
        <c:axId val="208735616"/>
        <c:scaling>
          <c:orientation val="minMax"/>
        </c:scaling>
        <c:delete val="0"/>
        <c:axPos val="b"/>
        <c:majorGridlines>
          <c:spPr>
            <a:ln>
              <a:solidFill>
                <a:schemeClr val="bg1">
                  <a:lumMod val="85000"/>
                </a:schemeClr>
              </a:solidFill>
            </a:ln>
          </c:spPr>
        </c:majorGridlines>
        <c:numFmt formatCode="0%" sourceLinked="1"/>
        <c:majorTickMark val="out"/>
        <c:minorTickMark val="none"/>
        <c:tickLblPos val="nextTo"/>
        <c:crossAx val="208745600"/>
        <c:crosses val="autoZero"/>
        <c:auto val="1"/>
        <c:lblAlgn val="ctr"/>
        <c:lblOffset val="100"/>
        <c:tickLblSkip val="10"/>
        <c:noMultiLvlLbl val="0"/>
      </c:catAx>
      <c:valAx>
        <c:axId val="20874560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208735616"/>
        <c:crosses val="autoZero"/>
        <c:crossBetween val="between"/>
      </c:valAx>
      <c:spPr>
        <a:noFill/>
        <a:ln w="25400">
          <a:noFill/>
        </a:ln>
      </c:spPr>
    </c:plotArea>
    <c:legend>
      <c:legendPos val="b"/>
      <c:overlay val="0"/>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scene3d>
      <a:camera prst="orthographicFront"/>
      <a:lightRig rig="threePt" dir="t">
        <a:rot lat="0" lon="0" rev="3000000"/>
      </a:lightRig>
    </a:scene3d>
    <a:sp3d>
      <a:bevelT/>
    </a:sp3d>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TASA INTERNA</a:t>
            </a:r>
            <a:r>
              <a:rPr lang="en-US" sz="1800" baseline="0"/>
              <a:t> DE RENTABILIDAD Y VALOR PRESENTE NETO</a:t>
            </a:r>
            <a:endParaRPr lang="en-US" sz="1800"/>
          </a:p>
        </c:rich>
      </c:tx>
      <c:layout/>
      <c:overlay val="0"/>
    </c:title>
    <c:autoTitleDeleted val="0"/>
    <c:plotArea>
      <c:layout/>
      <c:lineChart>
        <c:grouping val="standard"/>
        <c:varyColors val="0"/>
        <c:ser>
          <c:idx val="0"/>
          <c:order val="0"/>
          <c:tx>
            <c:strRef>
              <c:f>Hoja13!$C$4</c:f>
              <c:strCache>
                <c:ptCount val="1"/>
                <c:pt idx="0">
                  <c:v>VPN</c:v>
                </c:pt>
              </c:strCache>
            </c:strRef>
          </c:tx>
          <c:marker>
            <c:symbol val="none"/>
          </c:marker>
          <c:cat>
            <c:numRef>
              <c:f>Hoja13!$B$5:$B$80</c:f>
              <c:numCache>
                <c:formatCode>0%</c:formatCode>
                <c:ptCount val="76"/>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numCache>
            </c:numRef>
          </c:cat>
          <c:val>
            <c:numRef>
              <c:f>Hoja13!$C$5:$C$80</c:f>
              <c:numCache>
                <c:formatCode>#,##0</c:formatCode>
                <c:ptCount val="76"/>
                <c:pt idx="0">
                  <c:v>133211916.48530218</c:v>
                </c:pt>
                <c:pt idx="1">
                  <c:v>126960814.26435015</c:v>
                </c:pt>
                <c:pt idx="2">
                  <c:v>121034666.15703386</c:v>
                </c:pt>
                <c:pt idx="3">
                  <c:v>115413305.24889679</c:v>
                </c:pt>
                <c:pt idx="4">
                  <c:v>110078010.25777395</c:v>
                </c:pt>
                <c:pt idx="5">
                  <c:v>105011388.55453882</c:v>
                </c:pt>
                <c:pt idx="6">
                  <c:v>100197269.6937236</c:v>
                </c:pt>
                <c:pt idx="7">
                  <c:v>95620608.418686986</c:v>
                </c:pt>
                <c:pt idx="8">
                  <c:v>91267396.216732576</c:v>
                </c:pt>
                <c:pt idx="9">
                  <c:v>87124580.597557157</c:v>
                </c:pt>
                <c:pt idx="10">
                  <c:v>83179991.355197459</c:v>
                </c:pt>
                <c:pt idx="11">
                  <c:v>79422273.150620192</c:v>
                </c:pt>
                <c:pt idx="12">
                  <c:v>75840823.820443079</c:v>
                </c:pt>
                <c:pt idx="13">
                  <c:v>72425737.878028691</c:v>
                </c:pt>
                <c:pt idx="14">
                  <c:v>69167754.727250949</c:v>
                </c:pt>
                <c:pt idx="15">
                  <c:v>66058211.157398373</c:v>
                </c:pt>
                <c:pt idx="16">
                  <c:v>63088997.730618805</c:v>
                </c:pt>
                <c:pt idx="17">
                  <c:v>60252518.711658776</c:v>
                </c:pt>
                <c:pt idx="18">
                  <c:v>57541655.223903328</c:v>
                </c:pt>
                <c:pt idx="19">
                  <c:v>54949731.346376091</c:v>
                </c:pt>
                <c:pt idx="20">
                  <c:v>52470482.893797189</c:v>
                </c:pt>
                <c:pt idx="21">
                  <c:v>50098028.64639388</c:v>
                </c:pt>
                <c:pt idx="22">
                  <c:v>47826843.818223432</c:v>
                </c:pt>
                <c:pt idx="23">
                  <c:v>45651735.572582014</c:v>
                </c:pt>
                <c:pt idx="24">
                  <c:v>43567820.410882153</c:v>
                </c:pt>
                <c:pt idx="25">
                  <c:v>41570503.277402543</c:v>
                </c:pt>
                <c:pt idx="26">
                  <c:v>39655458.236739784</c:v>
                </c:pt>
                <c:pt idx="27">
                  <c:v>37818610.593792655</c:v>
                </c:pt>
                <c:pt idx="28">
                  <c:v>36056120.337835208</c:v>
                </c:pt>
                <c:pt idx="29">
                  <c:v>34364366.8028225</c:v>
                </c:pt>
                <c:pt idx="30">
                  <c:v>32739934.445635937</c:v>
                </c:pt>
                <c:pt idx="31">
                  <c:v>31179599.652625836</c:v>
                </c:pt>
                <c:pt idx="32">
                  <c:v>29680318.492634498</c:v>
                </c:pt>
                <c:pt idx="33">
                  <c:v>28239215.341773689</c:v>
                </c:pt>
                <c:pt idx="34">
                  <c:v>26853572.311655201</c:v>
                </c:pt>
                <c:pt idx="35">
                  <c:v>25520819.418602802</c:v>
                </c:pt>
                <c:pt idx="36">
                  <c:v>24238525.436665133</c:v>
                </c:pt>
                <c:pt idx="37">
                  <c:v>23004389.382056952</c:v>
                </c:pt>
                <c:pt idx="38">
                  <c:v>21816232.581026904</c:v>
                </c:pt>
                <c:pt idx="39">
                  <c:v>20671991.277125604</c:v>
                </c:pt>
                <c:pt idx="40">
                  <c:v>19569709.737470746</c:v>
                </c:pt>
                <c:pt idx="41">
                  <c:v>18507533.820901871</c:v>
                </c:pt>
                <c:pt idx="42">
                  <c:v>17483704.973928124</c:v>
                </c:pt>
                <c:pt idx="43">
                  <c:v>16496554.623114277</c:v>
                </c:pt>
                <c:pt idx="44">
                  <c:v>15544498.935057249</c:v>
                </c:pt>
                <c:pt idx="45">
                  <c:v>14626033.917393781</c:v>
                </c:pt>
                <c:pt idx="46">
                  <c:v>13739730.836372752</c:v>
                </c:pt>
                <c:pt idx="47">
                  <c:v>12884231.928439979</c:v>
                </c:pt>
                <c:pt idx="48">
                  <c:v>12058246.385035936</c:v>
                </c:pt>
                <c:pt idx="49">
                  <c:v>11260546.591411728</c:v>
                </c:pt>
                <c:pt idx="50">
                  <c:v>10489964.601739939</c:v>
                </c:pt>
                <c:pt idx="51">
                  <c:v>9745388.8341463692</c:v>
                </c:pt>
                <c:pt idx="52">
                  <c:v>9025760.9705264904</c:v>
                </c:pt>
                <c:pt idx="53">
                  <c:v>8330073.0471474566</c:v>
                </c:pt>
                <c:pt idx="54">
                  <c:v>7657364.7230809741</c:v>
                </c:pt>
                <c:pt idx="55">
                  <c:v>7006720.714472387</c:v>
                </c:pt>
                <c:pt idx="56">
                  <c:v>6377268.3835345916</c:v>
                </c:pt>
                <c:pt idx="57">
                  <c:v>5768175.4719679616</c:v>
                </c:pt>
                <c:pt idx="58">
                  <c:v>5178647.9692561552</c:v>
                </c:pt>
                <c:pt idx="59">
                  <c:v>4607928.1069771945</c:v>
                </c:pt>
                <c:pt idx="60">
                  <c:v>4055292.4709043689</c:v>
                </c:pt>
                <c:pt idx="61">
                  <c:v>3520050.2232589498</c:v>
                </c:pt>
                <c:pt idx="62">
                  <c:v>3001541.4280161895</c:v>
                </c:pt>
                <c:pt idx="63">
                  <c:v>2499135.4726673998</c:v>
                </c:pt>
                <c:pt idx="64">
                  <c:v>2012229.5803006291</c:v>
                </c:pt>
                <c:pt idx="65">
                  <c:v>1540247.4062906541</c:v>
                </c:pt>
                <c:pt idx="66">
                  <c:v>1082637.7142819613</c:v>
                </c:pt>
                <c:pt idx="67">
                  <c:v>638873.12651457265</c:v>
                </c:pt>
                <c:pt idx="68">
                  <c:v>208448.94387930818</c:v>
                </c:pt>
                <c:pt idx="69">
                  <c:v>-209117.96859719232</c:v>
                </c:pt>
                <c:pt idx="70">
                  <c:v>-614290.2348483745</c:v>
                </c:pt>
                <c:pt idx="71">
                  <c:v>-1007510.9631857574</c:v>
                </c:pt>
                <c:pt idx="72">
                  <c:v>-1389204.6875317711</c:v>
                </c:pt>
                <c:pt idx="73">
                  <c:v>-1759778.2577284425</c:v>
                </c:pt>
                <c:pt idx="74">
                  <c:v>-2119621.6819685977</c:v>
                </c:pt>
                <c:pt idx="75">
                  <c:v>-2469108.9241968859</c:v>
                </c:pt>
              </c:numCache>
            </c:numRef>
          </c:val>
          <c:smooth val="0"/>
        </c:ser>
        <c:dLbls>
          <c:showLegendKey val="0"/>
          <c:showVal val="0"/>
          <c:showCatName val="0"/>
          <c:showSerName val="0"/>
          <c:showPercent val="0"/>
          <c:showBubbleSize val="0"/>
        </c:dLbls>
        <c:marker val="1"/>
        <c:smooth val="0"/>
        <c:axId val="209500032"/>
        <c:axId val="209501568"/>
      </c:lineChart>
      <c:catAx>
        <c:axId val="209500032"/>
        <c:scaling>
          <c:orientation val="minMax"/>
        </c:scaling>
        <c:delete val="0"/>
        <c:axPos val="b"/>
        <c:majorGridlines>
          <c:spPr>
            <a:ln>
              <a:solidFill>
                <a:schemeClr val="bg1">
                  <a:lumMod val="85000"/>
                </a:schemeClr>
              </a:solidFill>
            </a:ln>
          </c:spPr>
        </c:majorGridlines>
        <c:numFmt formatCode="0%" sourceLinked="1"/>
        <c:majorTickMark val="out"/>
        <c:minorTickMark val="none"/>
        <c:tickLblPos val="nextTo"/>
        <c:crossAx val="209501568"/>
        <c:crosses val="autoZero"/>
        <c:auto val="1"/>
        <c:lblAlgn val="ctr"/>
        <c:lblOffset val="100"/>
        <c:tickLblSkip val="5"/>
        <c:noMultiLvlLbl val="0"/>
      </c:catAx>
      <c:valAx>
        <c:axId val="20950156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209500032"/>
        <c:crosses val="autoZero"/>
        <c:crossBetween val="midCat"/>
      </c:valAx>
      <c:spPr>
        <a:noFill/>
      </c:spPr>
    </c:plotArea>
    <c:legend>
      <c:legendPos val="b"/>
      <c:layout/>
      <c:overlay val="0"/>
    </c:legend>
    <c:plotVisOnly val="1"/>
    <c:dispBlanksAs val="gap"/>
    <c:showDLblsOverMax val="0"/>
  </c:chart>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a:effectLst>
      <a:outerShdw blurRad="355600" dist="38100" dir="2700000" sx="102000" sy="102000" algn="tl" rotWithShape="0">
        <a:prstClr val="black">
          <a:alpha val="55000"/>
        </a:prstClr>
      </a:outerShdw>
    </a:effectLst>
    <a:scene3d>
      <a:camera prst="orthographicFront"/>
      <a:lightRig rig="threePt" dir="t"/>
    </a:scene3d>
    <a:sp3d>
      <a:bevelT/>
    </a:sp3d>
  </c:spPr>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18" Type="http://schemas.openxmlformats.org/officeDocument/2006/relationships/image" Target="../media/image19.wmf"/><Relationship Id="rId26" Type="http://schemas.openxmlformats.org/officeDocument/2006/relationships/image" Target="../media/image27.emf"/><Relationship Id="rId3" Type="http://schemas.openxmlformats.org/officeDocument/2006/relationships/image" Target="../media/image4.wmf"/><Relationship Id="rId21" Type="http://schemas.openxmlformats.org/officeDocument/2006/relationships/image" Target="../media/image22.wmf"/><Relationship Id="rId7" Type="http://schemas.openxmlformats.org/officeDocument/2006/relationships/image" Target="../media/image8.emf"/><Relationship Id="rId12" Type="http://schemas.openxmlformats.org/officeDocument/2006/relationships/image" Target="../media/image13.wmf"/><Relationship Id="rId17" Type="http://schemas.openxmlformats.org/officeDocument/2006/relationships/image" Target="../media/image18.wmf"/><Relationship Id="rId25" Type="http://schemas.openxmlformats.org/officeDocument/2006/relationships/image" Target="../media/image26.emf"/><Relationship Id="rId2" Type="http://schemas.openxmlformats.org/officeDocument/2006/relationships/image" Target="../media/image3.emf"/><Relationship Id="rId16" Type="http://schemas.openxmlformats.org/officeDocument/2006/relationships/image" Target="../media/image17.wmf"/><Relationship Id="rId20" Type="http://schemas.openxmlformats.org/officeDocument/2006/relationships/image" Target="../media/image21.wmf"/><Relationship Id="rId29" Type="http://schemas.openxmlformats.org/officeDocument/2006/relationships/image" Target="../media/image30.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24" Type="http://schemas.openxmlformats.org/officeDocument/2006/relationships/image" Target="../media/image25.wmf"/><Relationship Id="rId5" Type="http://schemas.openxmlformats.org/officeDocument/2006/relationships/image" Target="../media/image6.wmf"/><Relationship Id="rId15" Type="http://schemas.openxmlformats.org/officeDocument/2006/relationships/image" Target="../media/image16.wmf"/><Relationship Id="rId23" Type="http://schemas.openxmlformats.org/officeDocument/2006/relationships/image" Target="../media/image24.wmf"/><Relationship Id="rId28" Type="http://schemas.openxmlformats.org/officeDocument/2006/relationships/image" Target="../media/image29.wmf"/><Relationship Id="rId10" Type="http://schemas.openxmlformats.org/officeDocument/2006/relationships/image" Target="../media/image11.wmf"/><Relationship Id="rId19" Type="http://schemas.openxmlformats.org/officeDocument/2006/relationships/image" Target="../media/image20.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wmf"/><Relationship Id="rId22" Type="http://schemas.openxmlformats.org/officeDocument/2006/relationships/image" Target="../media/image23.wmf"/><Relationship Id="rId27" Type="http://schemas.openxmlformats.org/officeDocument/2006/relationships/image" Target="../media/image28.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137</xdr:row>
          <xdr:rowOff>0</xdr:rowOff>
        </xdr:from>
        <xdr:to>
          <xdr:col>6</xdr:col>
          <xdr:colOff>771525</xdr:colOff>
          <xdr:row>140</xdr:row>
          <xdr:rowOff>133350</xdr:rowOff>
        </xdr:to>
        <xdr:sp macro="" textlink="">
          <xdr:nvSpPr>
            <xdr:cNvPr id="13313" name="Imagen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971550</xdr:colOff>
          <xdr:row>5</xdr:row>
          <xdr:rowOff>95250</xdr:rowOff>
        </xdr:from>
        <xdr:to>
          <xdr:col>2</xdr:col>
          <xdr:colOff>1952625</xdr:colOff>
          <xdr:row>5</xdr:row>
          <xdr:rowOff>666750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6</xdr:row>
          <xdr:rowOff>466725</xdr:rowOff>
        </xdr:from>
        <xdr:to>
          <xdr:col>2</xdr:col>
          <xdr:colOff>2771775</xdr:colOff>
          <xdr:row>6</xdr:row>
          <xdr:rowOff>1162050</xdr:rowOff>
        </xdr:to>
        <xdr:sp macro="" textlink="">
          <xdr:nvSpPr>
            <xdr:cNvPr id="9218" name="Object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504825</xdr:colOff>
          <xdr:row>7</xdr:row>
          <xdr:rowOff>76200</xdr:rowOff>
        </xdr:from>
        <xdr:to>
          <xdr:col>2</xdr:col>
          <xdr:colOff>2809875</xdr:colOff>
          <xdr:row>7</xdr:row>
          <xdr:rowOff>647700</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8</xdr:row>
          <xdr:rowOff>228600</xdr:rowOff>
        </xdr:from>
        <xdr:to>
          <xdr:col>2</xdr:col>
          <xdr:colOff>3133725</xdr:colOff>
          <xdr:row>8</xdr:row>
          <xdr:rowOff>466725</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314325</xdr:colOff>
          <xdr:row>12</xdr:row>
          <xdr:rowOff>257175</xdr:rowOff>
        </xdr:from>
        <xdr:to>
          <xdr:col>2</xdr:col>
          <xdr:colOff>3143250</xdr:colOff>
          <xdr:row>12</xdr:row>
          <xdr:rowOff>647700</xdr:rowOff>
        </xdr:to>
        <xdr:sp macro="" textlink="">
          <xdr:nvSpPr>
            <xdr:cNvPr id="9221" name="Object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13</xdr:row>
          <xdr:rowOff>161925</xdr:rowOff>
        </xdr:from>
        <xdr:to>
          <xdr:col>2</xdr:col>
          <xdr:colOff>3076575</xdr:colOff>
          <xdr:row>13</xdr:row>
          <xdr:rowOff>504825</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xdr:row>
          <xdr:rowOff>142875</xdr:rowOff>
        </xdr:from>
        <xdr:to>
          <xdr:col>2</xdr:col>
          <xdr:colOff>3076575</xdr:colOff>
          <xdr:row>14</xdr:row>
          <xdr:rowOff>542925</xdr:rowOff>
        </xdr:to>
        <xdr:sp macro="" textlink="">
          <xdr:nvSpPr>
            <xdr:cNvPr id="9223" name="Object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314325</xdr:colOff>
          <xdr:row>16</xdr:row>
          <xdr:rowOff>95250</xdr:rowOff>
        </xdr:from>
        <xdr:to>
          <xdr:col>2</xdr:col>
          <xdr:colOff>2533650</xdr:colOff>
          <xdr:row>16</xdr:row>
          <xdr:rowOff>600075</xdr:rowOff>
        </xdr:to>
        <xdr:sp macro="" textlink="">
          <xdr:nvSpPr>
            <xdr:cNvPr id="9225" name="Object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17</xdr:row>
          <xdr:rowOff>104775</xdr:rowOff>
        </xdr:from>
        <xdr:to>
          <xdr:col>2</xdr:col>
          <xdr:colOff>3076575</xdr:colOff>
          <xdr:row>17</xdr:row>
          <xdr:rowOff>581025</xdr:rowOff>
        </xdr:to>
        <xdr:sp macro="" textlink="">
          <xdr:nvSpPr>
            <xdr:cNvPr id="9226" name="Object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18</xdr:row>
          <xdr:rowOff>152400</xdr:rowOff>
        </xdr:from>
        <xdr:to>
          <xdr:col>2</xdr:col>
          <xdr:colOff>3028950</xdr:colOff>
          <xdr:row>18</xdr:row>
          <xdr:rowOff>590550</xdr:rowOff>
        </xdr:to>
        <xdr:sp macro="" textlink="">
          <xdr:nvSpPr>
            <xdr:cNvPr id="9227" name="Object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19</xdr:row>
          <xdr:rowOff>152400</xdr:rowOff>
        </xdr:from>
        <xdr:to>
          <xdr:col>2</xdr:col>
          <xdr:colOff>3048000</xdr:colOff>
          <xdr:row>19</xdr:row>
          <xdr:rowOff>552450</xdr:rowOff>
        </xdr:to>
        <xdr:sp macro="" textlink="">
          <xdr:nvSpPr>
            <xdr:cNvPr id="9228" name="Object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200025</xdr:rowOff>
        </xdr:from>
        <xdr:to>
          <xdr:col>2</xdr:col>
          <xdr:colOff>3143250</xdr:colOff>
          <xdr:row>20</xdr:row>
          <xdr:rowOff>552450</xdr:rowOff>
        </xdr:to>
        <xdr:sp macro="" textlink="">
          <xdr:nvSpPr>
            <xdr:cNvPr id="9229" name="Object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21</xdr:row>
          <xdr:rowOff>57150</xdr:rowOff>
        </xdr:from>
        <xdr:to>
          <xdr:col>2</xdr:col>
          <xdr:colOff>3057525</xdr:colOff>
          <xdr:row>21</xdr:row>
          <xdr:rowOff>628650</xdr:rowOff>
        </xdr:to>
        <xdr:sp macro="" textlink="">
          <xdr:nvSpPr>
            <xdr:cNvPr id="9230" name="Object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22</xdr:row>
          <xdr:rowOff>76200</xdr:rowOff>
        </xdr:from>
        <xdr:to>
          <xdr:col>2</xdr:col>
          <xdr:colOff>3076575</xdr:colOff>
          <xdr:row>22</xdr:row>
          <xdr:rowOff>647700</xdr:rowOff>
        </xdr:to>
        <xdr:sp macro="" textlink="">
          <xdr:nvSpPr>
            <xdr:cNvPr id="9231" name="Object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466725</xdr:colOff>
          <xdr:row>15</xdr:row>
          <xdr:rowOff>133350</xdr:rowOff>
        </xdr:from>
        <xdr:to>
          <xdr:col>2</xdr:col>
          <xdr:colOff>2895600</xdr:colOff>
          <xdr:row>15</xdr:row>
          <xdr:rowOff>657225</xdr:rowOff>
        </xdr:to>
        <xdr:sp macro="" textlink="">
          <xdr:nvSpPr>
            <xdr:cNvPr id="9232" name="Object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27</xdr:row>
          <xdr:rowOff>180975</xdr:rowOff>
        </xdr:from>
        <xdr:to>
          <xdr:col>2</xdr:col>
          <xdr:colOff>3143250</xdr:colOff>
          <xdr:row>27</xdr:row>
          <xdr:rowOff>647700</xdr:rowOff>
        </xdr:to>
        <xdr:sp macro="" textlink="">
          <xdr:nvSpPr>
            <xdr:cNvPr id="9233" name="Object 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28</xdr:row>
          <xdr:rowOff>209550</xdr:rowOff>
        </xdr:from>
        <xdr:to>
          <xdr:col>2</xdr:col>
          <xdr:colOff>3124200</xdr:colOff>
          <xdr:row>28</xdr:row>
          <xdr:rowOff>733425</xdr:rowOff>
        </xdr:to>
        <xdr:sp macro="" textlink="">
          <xdr:nvSpPr>
            <xdr:cNvPr id="9234" name="Object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29</xdr:row>
          <xdr:rowOff>85725</xdr:rowOff>
        </xdr:from>
        <xdr:to>
          <xdr:col>2</xdr:col>
          <xdr:colOff>2981325</xdr:colOff>
          <xdr:row>29</xdr:row>
          <xdr:rowOff>590550</xdr:rowOff>
        </xdr:to>
        <xdr:sp macro="" textlink="">
          <xdr:nvSpPr>
            <xdr:cNvPr id="9235" name="Object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30</xdr:row>
          <xdr:rowOff>152400</xdr:rowOff>
        </xdr:from>
        <xdr:to>
          <xdr:col>2</xdr:col>
          <xdr:colOff>3086100</xdr:colOff>
          <xdr:row>30</xdr:row>
          <xdr:rowOff>552450</xdr:rowOff>
        </xdr:to>
        <xdr:sp macro="" textlink="">
          <xdr:nvSpPr>
            <xdr:cNvPr id="9236" name="Object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361950</xdr:colOff>
          <xdr:row>31</xdr:row>
          <xdr:rowOff>123825</xdr:rowOff>
        </xdr:from>
        <xdr:to>
          <xdr:col>2</xdr:col>
          <xdr:colOff>2895600</xdr:colOff>
          <xdr:row>31</xdr:row>
          <xdr:rowOff>581025</xdr:rowOff>
        </xdr:to>
        <xdr:sp macro="" textlink="">
          <xdr:nvSpPr>
            <xdr:cNvPr id="9237" name="Object 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571500</xdr:colOff>
          <xdr:row>32</xdr:row>
          <xdr:rowOff>133350</xdr:rowOff>
        </xdr:from>
        <xdr:to>
          <xdr:col>2</xdr:col>
          <xdr:colOff>2886075</xdr:colOff>
          <xdr:row>32</xdr:row>
          <xdr:rowOff>514350</xdr:rowOff>
        </xdr:to>
        <xdr:sp macro="" textlink="">
          <xdr:nvSpPr>
            <xdr:cNvPr id="9238" name="Object 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36</xdr:row>
          <xdr:rowOff>152400</xdr:rowOff>
        </xdr:from>
        <xdr:to>
          <xdr:col>2</xdr:col>
          <xdr:colOff>3133725</xdr:colOff>
          <xdr:row>36</xdr:row>
          <xdr:rowOff>704850</xdr:rowOff>
        </xdr:to>
        <xdr:sp macro="" textlink="">
          <xdr:nvSpPr>
            <xdr:cNvPr id="9239" name="Object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37</xdr:row>
          <xdr:rowOff>76200</xdr:rowOff>
        </xdr:from>
        <xdr:to>
          <xdr:col>2</xdr:col>
          <xdr:colOff>2981325</xdr:colOff>
          <xdr:row>37</xdr:row>
          <xdr:rowOff>609600</xdr:rowOff>
        </xdr:to>
        <xdr:sp macro="" textlink="">
          <xdr:nvSpPr>
            <xdr:cNvPr id="9240" name="Object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38</xdr:row>
          <xdr:rowOff>114300</xdr:rowOff>
        </xdr:from>
        <xdr:to>
          <xdr:col>2</xdr:col>
          <xdr:colOff>3105150</xdr:colOff>
          <xdr:row>38</xdr:row>
          <xdr:rowOff>657225</xdr:rowOff>
        </xdr:to>
        <xdr:sp macro="" textlink="">
          <xdr:nvSpPr>
            <xdr:cNvPr id="9241" name="Object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133350</xdr:rowOff>
        </xdr:from>
        <xdr:to>
          <xdr:col>2</xdr:col>
          <xdr:colOff>3095625</xdr:colOff>
          <xdr:row>42</xdr:row>
          <xdr:rowOff>714375</xdr:rowOff>
        </xdr:to>
        <xdr:sp macro="" textlink="">
          <xdr:nvSpPr>
            <xdr:cNvPr id="9242" name="Object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43</xdr:row>
          <xdr:rowOff>123825</xdr:rowOff>
        </xdr:from>
        <xdr:to>
          <xdr:col>2</xdr:col>
          <xdr:colOff>3133725</xdr:colOff>
          <xdr:row>43</xdr:row>
          <xdr:rowOff>619125</xdr:rowOff>
        </xdr:to>
        <xdr:sp macro="" textlink="">
          <xdr:nvSpPr>
            <xdr:cNvPr id="9243" name="Object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44</xdr:row>
          <xdr:rowOff>190500</xdr:rowOff>
        </xdr:from>
        <xdr:to>
          <xdr:col>2</xdr:col>
          <xdr:colOff>3038475</xdr:colOff>
          <xdr:row>44</xdr:row>
          <xdr:rowOff>638175</xdr:rowOff>
        </xdr:to>
        <xdr:sp macro="" textlink="">
          <xdr:nvSpPr>
            <xdr:cNvPr id="9244" name="Object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45</xdr:row>
          <xdr:rowOff>171450</xdr:rowOff>
        </xdr:from>
        <xdr:to>
          <xdr:col>2</xdr:col>
          <xdr:colOff>2895600</xdr:colOff>
          <xdr:row>45</xdr:row>
          <xdr:rowOff>647700</xdr:rowOff>
        </xdr:to>
        <xdr:sp macro="" textlink="">
          <xdr:nvSpPr>
            <xdr:cNvPr id="9245" name="Object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352425</xdr:colOff>
          <xdr:row>46</xdr:row>
          <xdr:rowOff>104775</xdr:rowOff>
        </xdr:from>
        <xdr:to>
          <xdr:col>2</xdr:col>
          <xdr:colOff>2895600</xdr:colOff>
          <xdr:row>46</xdr:row>
          <xdr:rowOff>676275</xdr:rowOff>
        </xdr:to>
        <xdr:sp macro="" textlink="">
          <xdr:nvSpPr>
            <xdr:cNvPr id="9246" name="Object 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400050</xdr:colOff>
      <xdr:row>5</xdr:row>
      <xdr:rowOff>76200</xdr:rowOff>
    </xdr:from>
    <xdr:to>
      <xdr:col>5</xdr:col>
      <xdr:colOff>790575</xdr:colOff>
      <xdr:row>16</xdr:row>
      <xdr:rowOff>9525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561975</xdr:colOff>
      <xdr:row>6</xdr:row>
      <xdr:rowOff>176659</xdr:rowOff>
    </xdr:from>
    <xdr:to>
      <xdr:col>5</xdr:col>
      <xdr:colOff>390525</xdr:colOff>
      <xdr:row>13</xdr:row>
      <xdr:rowOff>161925</xdr:rowOff>
    </xdr:to>
    <xdr:grpSp>
      <xdr:nvGrpSpPr>
        <xdr:cNvPr id="21" name="20 Grupo"/>
        <xdr:cNvGrpSpPr/>
      </xdr:nvGrpSpPr>
      <xdr:grpSpPr>
        <a:xfrm>
          <a:off x="2543175" y="1567309"/>
          <a:ext cx="2800350" cy="1718816"/>
          <a:chOff x="2543175" y="1548259"/>
          <a:chExt cx="2800350" cy="1718816"/>
        </a:xfrm>
      </xdr:grpSpPr>
      <xdr:cxnSp macro="">
        <xdr:nvCxnSpPr>
          <xdr:cNvPr id="11" name="10 Conector recto de flecha"/>
          <xdr:cNvCxnSpPr/>
        </xdr:nvCxnSpPr>
        <xdr:spPr>
          <a:xfrm flipH="1" flipV="1">
            <a:off x="4448175" y="1656904"/>
            <a:ext cx="895350" cy="18454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11 CuadroTexto"/>
          <xdr:cNvSpPr txBox="1"/>
        </xdr:nvSpPr>
        <xdr:spPr>
          <a:xfrm>
            <a:off x="2543175" y="1548259"/>
            <a:ext cx="1936428" cy="256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P.E</a:t>
            </a:r>
          </a:p>
        </xdr:txBody>
      </xdr:sp>
      <xdr:cxnSp macro="">
        <xdr:nvCxnSpPr>
          <xdr:cNvPr id="17" name="16 Conector recto"/>
          <xdr:cNvCxnSpPr/>
        </xdr:nvCxnSpPr>
        <xdr:spPr>
          <a:xfrm>
            <a:off x="5334000" y="1857375"/>
            <a:ext cx="0" cy="1409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c:userShapes xmlns:c="http://schemas.openxmlformats.org/drawingml/2006/chart">
  <cdr:relSizeAnchor xmlns:cdr="http://schemas.openxmlformats.org/drawingml/2006/chartDrawing">
    <cdr:from>
      <cdr:x>0.07083</cdr:x>
      <cdr:y>0.24132</cdr:y>
    </cdr:from>
    <cdr:to>
      <cdr:x>0.91875</cdr:x>
      <cdr:y>0.25174</cdr:y>
    </cdr:to>
    <cdr:cxnSp macro="">
      <cdr:nvCxnSpPr>
        <cdr:cNvPr id="3" name="2 Conector recto"/>
        <cdr:cNvCxnSpPr/>
      </cdr:nvCxnSpPr>
      <cdr:spPr>
        <a:xfrm xmlns:a="http://schemas.openxmlformats.org/drawingml/2006/main" flipH="1">
          <a:off x="323850" y="661988"/>
          <a:ext cx="3876675" cy="28575"/>
        </a:xfrm>
        <a:prstGeom xmlns:a="http://schemas.openxmlformats.org/drawingml/2006/main" prst="line">
          <a:avLst/>
        </a:prstGeom>
        <a:ln xmlns:a="http://schemas.openxmlformats.org/drawingml/2006/main" w="63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5</xdr:col>
      <xdr:colOff>828675</xdr:colOff>
      <xdr:row>70</xdr:row>
      <xdr:rowOff>176212</xdr:rowOff>
    </xdr:from>
    <xdr:to>
      <xdr:col>10</xdr:col>
      <xdr:colOff>19050</xdr:colOff>
      <xdr:row>85</xdr:row>
      <xdr:rowOff>61912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11</xdr:col>
          <xdr:colOff>276225</xdr:colOff>
          <xdr:row>70</xdr:row>
          <xdr:rowOff>104775</xdr:rowOff>
        </xdr:from>
        <xdr:to>
          <xdr:col>11</xdr:col>
          <xdr:colOff>657225</xdr:colOff>
          <xdr:row>82</xdr:row>
          <xdr:rowOff>9525</xdr:rowOff>
        </xdr:to>
        <xdr:sp macro="" textlink="">
          <xdr:nvSpPr>
            <xdr:cNvPr id="25601" name="ScrollBar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66675</xdr:colOff>
      <xdr:row>2</xdr:row>
      <xdr:rowOff>42861</xdr:rowOff>
    </xdr:from>
    <xdr:to>
      <xdr:col>10</xdr:col>
      <xdr:colOff>171450</xdr:colOff>
      <xdr:row>23</xdr:row>
      <xdr:rowOff>19049</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10</xdr:col>
          <xdr:colOff>628650</xdr:colOff>
          <xdr:row>2</xdr:row>
          <xdr:rowOff>0</xdr:rowOff>
        </xdr:from>
        <xdr:to>
          <xdr:col>11</xdr:col>
          <xdr:colOff>0</xdr:colOff>
          <xdr:row>21</xdr:row>
          <xdr:rowOff>19050</xdr:rowOff>
        </xdr:to>
        <xdr:sp macro="" textlink="">
          <xdr:nvSpPr>
            <xdr:cNvPr id="16385" name="ScrollBar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xdr:twoCellAnchor>
    <xdr:from>
      <xdr:col>11</xdr:col>
      <xdr:colOff>127774</xdr:colOff>
      <xdr:row>32</xdr:row>
      <xdr:rowOff>46464</xdr:rowOff>
    </xdr:from>
    <xdr:to>
      <xdr:col>11</xdr:col>
      <xdr:colOff>847957</xdr:colOff>
      <xdr:row>32</xdr:row>
      <xdr:rowOff>185853</xdr:rowOff>
    </xdr:to>
    <xdr:sp macro="" textlink="">
      <xdr:nvSpPr>
        <xdr:cNvPr id="9" name="8 Flecha izquierda"/>
        <xdr:cNvSpPr/>
      </xdr:nvSpPr>
      <xdr:spPr>
        <a:xfrm>
          <a:off x="12034024" y="7376068"/>
          <a:ext cx="720183" cy="139389"/>
        </a:xfrm>
        <a:prstGeom prst="leftArrow">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127774</xdr:colOff>
      <xdr:row>33</xdr:row>
      <xdr:rowOff>58080</xdr:rowOff>
    </xdr:from>
    <xdr:to>
      <xdr:col>11</xdr:col>
      <xdr:colOff>847957</xdr:colOff>
      <xdr:row>33</xdr:row>
      <xdr:rowOff>197469</xdr:rowOff>
    </xdr:to>
    <xdr:sp macro="" textlink="">
      <xdr:nvSpPr>
        <xdr:cNvPr id="12" name="11 Flecha izquierda"/>
        <xdr:cNvSpPr/>
      </xdr:nvSpPr>
      <xdr:spPr>
        <a:xfrm>
          <a:off x="12034024" y="7666464"/>
          <a:ext cx="720183" cy="139389"/>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31.emf"/><Relationship Id="rId4" Type="http://schemas.openxmlformats.org/officeDocument/2006/relationships/control" Target="../activeX/activeX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image" Target="../media/image32.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3" Type="http://schemas.openxmlformats.org/officeDocument/2006/relationships/image" Target="../media/image6.wmf"/><Relationship Id="rId18" Type="http://schemas.openxmlformats.org/officeDocument/2006/relationships/oleObject" Target="../embeddings/oleObject9.bin"/><Relationship Id="rId26" Type="http://schemas.openxmlformats.org/officeDocument/2006/relationships/oleObject" Target="../embeddings/oleObject13.bin"/><Relationship Id="rId39" Type="http://schemas.openxmlformats.org/officeDocument/2006/relationships/image" Target="../media/image19.wmf"/><Relationship Id="rId21" Type="http://schemas.openxmlformats.org/officeDocument/2006/relationships/image" Target="../media/image10.wmf"/><Relationship Id="rId34" Type="http://schemas.openxmlformats.org/officeDocument/2006/relationships/oleObject" Target="../embeddings/oleObject17.bin"/><Relationship Id="rId42" Type="http://schemas.openxmlformats.org/officeDocument/2006/relationships/oleObject" Target="../embeddings/oleObject21.bin"/><Relationship Id="rId47" Type="http://schemas.openxmlformats.org/officeDocument/2006/relationships/image" Target="../media/image23.wmf"/><Relationship Id="rId50" Type="http://schemas.openxmlformats.org/officeDocument/2006/relationships/oleObject" Target="../embeddings/oleObject25.bin"/><Relationship Id="rId55" Type="http://schemas.openxmlformats.org/officeDocument/2006/relationships/image" Target="../media/image27.emf"/><Relationship Id="rId7" Type="http://schemas.openxmlformats.org/officeDocument/2006/relationships/image" Target="../media/image3.emf"/><Relationship Id="rId2" Type="http://schemas.openxmlformats.org/officeDocument/2006/relationships/drawing" Target="../drawings/drawing2.xml"/><Relationship Id="rId16" Type="http://schemas.openxmlformats.org/officeDocument/2006/relationships/oleObject" Target="../embeddings/oleObject8.bin"/><Relationship Id="rId20" Type="http://schemas.openxmlformats.org/officeDocument/2006/relationships/oleObject" Target="../embeddings/oleObject10.bin"/><Relationship Id="rId29" Type="http://schemas.openxmlformats.org/officeDocument/2006/relationships/image" Target="../media/image14.wmf"/><Relationship Id="rId41" Type="http://schemas.openxmlformats.org/officeDocument/2006/relationships/image" Target="../media/image20.wmf"/><Relationship Id="rId54" Type="http://schemas.openxmlformats.org/officeDocument/2006/relationships/oleObject" Target="../embeddings/oleObject27.bin"/><Relationship Id="rId1" Type="http://schemas.openxmlformats.org/officeDocument/2006/relationships/printerSettings" Target="../printerSettings/printerSettings3.bin"/><Relationship Id="rId6" Type="http://schemas.openxmlformats.org/officeDocument/2006/relationships/oleObject" Target="../embeddings/oleObject3.bin"/><Relationship Id="rId11" Type="http://schemas.openxmlformats.org/officeDocument/2006/relationships/image" Target="../media/image5.wmf"/><Relationship Id="rId24" Type="http://schemas.openxmlformats.org/officeDocument/2006/relationships/oleObject" Target="../embeddings/oleObject12.bin"/><Relationship Id="rId32" Type="http://schemas.openxmlformats.org/officeDocument/2006/relationships/oleObject" Target="../embeddings/oleObject16.bin"/><Relationship Id="rId37" Type="http://schemas.openxmlformats.org/officeDocument/2006/relationships/image" Target="../media/image18.wmf"/><Relationship Id="rId40" Type="http://schemas.openxmlformats.org/officeDocument/2006/relationships/oleObject" Target="../embeddings/oleObject20.bin"/><Relationship Id="rId45" Type="http://schemas.openxmlformats.org/officeDocument/2006/relationships/image" Target="../media/image22.wmf"/><Relationship Id="rId53" Type="http://schemas.openxmlformats.org/officeDocument/2006/relationships/image" Target="../media/image26.emf"/><Relationship Id="rId58" Type="http://schemas.openxmlformats.org/officeDocument/2006/relationships/oleObject" Target="../embeddings/oleObject29.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oleObject" Target="../embeddings/oleObject14.bin"/><Relationship Id="rId36" Type="http://schemas.openxmlformats.org/officeDocument/2006/relationships/oleObject" Target="../embeddings/oleObject18.bin"/><Relationship Id="rId49" Type="http://schemas.openxmlformats.org/officeDocument/2006/relationships/image" Target="../media/image24.wmf"/><Relationship Id="rId57" Type="http://schemas.openxmlformats.org/officeDocument/2006/relationships/image" Target="../media/image28.wmf"/><Relationship Id="rId61" Type="http://schemas.openxmlformats.org/officeDocument/2006/relationships/image" Target="../media/image30.wmf"/><Relationship Id="rId10" Type="http://schemas.openxmlformats.org/officeDocument/2006/relationships/oleObject" Target="../embeddings/oleObject5.bin"/><Relationship Id="rId19" Type="http://schemas.openxmlformats.org/officeDocument/2006/relationships/image" Target="../media/image9.wmf"/><Relationship Id="rId31" Type="http://schemas.openxmlformats.org/officeDocument/2006/relationships/image" Target="../media/image15.wmf"/><Relationship Id="rId44" Type="http://schemas.openxmlformats.org/officeDocument/2006/relationships/oleObject" Target="../embeddings/oleObject22.bin"/><Relationship Id="rId52" Type="http://schemas.openxmlformats.org/officeDocument/2006/relationships/oleObject" Target="../embeddings/oleObject26.bin"/><Relationship Id="rId60" Type="http://schemas.openxmlformats.org/officeDocument/2006/relationships/oleObject" Target="../embeddings/oleObject30.bin"/><Relationship Id="rId4" Type="http://schemas.openxmlformats.org/officeDocument/2006/relationships/oleObject" Target="../embeddings/oleObject2.bin"/><Relationship Id="rId9" Type="http://schemas.openxmlformats.org/officeDocument/2006/relationships/image" Target="../media/image4.wmf"/><Relationship Id="rId14" Type="http://schemas.openxmlformats.org/officeDocument/2006/relationships/oleObject" Target="../embeddings/oleObject7.bin"/><Relationship Id="rId22" Type="http://schemas.openxmlformats.org/officeDocument/2006/relationships/oleObject" Target="../embeddings/oleObject11.bin"/><Relationship Id="rId27" Type="http://schemas.openxmlformats.org/officeDocument/2006/relationships/image" Target="../media/image13.wmf"/><Relationship Id="rId30" Type="http://schemas.openxmlformats.org/officeDocument/2006/relationships/oleObject" Target="../embeddings/oleObject15.bin"/><Relationship Id="rId35" Type="http://schemas.openxmlformats.org/officeDocument/2006/relationships/image" Target="../media/image17.wmf"/><Relationship Id="rId43" Type="http://schemas.openxmlformats.org/officeDocument/2006/relationships/image" Target="../media/image21.wmf"/><Relationship Id="rId48" Type="http://schemas.openxmlformats.org/officeDocument/2006/relationships/oleObject" Target="../embeddings/oleObject24.bin"/><Relationship Id="rId56" Type="http://schemas.openxmlformats.org/officeDocument/2006/relationships/oleObject" Target="../embeddings/oleObject28.bin"/><Relationship Id="rId8" Type="http://schemas.openxmlformats.org/officeDocument/2006/relationships/oleObject" Target="../embeddings/oleObject4.bin"/><Relationship Id="rId51" Type="http://schemas.openxmlformats.org/officeDocument/2006/relationships/image" Target="../media/image25.wmf"/><Relationship Id="rId3" Type="http://schemas.openxmlformats.org/officeDocument/2006/relationships/vmlDrawing" Target="../drawings/vmlDrawing2.vml"/><Relationship Id="rId12" Type="http://schemas.openxmlformats.org/officeDocument/2006/relationships/oleObject" Target="../embeddings/oleObject6.bin"/><Relationship Id="rId17" Type="http://schemas.openxmlformats.org/officeDocument/2006/relationships/image" Target="../media/image8.emf"/><Relationship Id="rId25" Type="http://schemas.openxmlformats.org/officeDocument/2006/relationships/image" Target="../media/image12.wmf"/><Relationship Id="rId33" Type="http://schemas.openxmlformats.org/officeDocument/2006/relationships/image" Target="../media/image16.wmf"/><Relationship Id="rId38" Type="http://schemas.openxmlformats.org/officeDocument/2006/relationships/oleObject" Target="../embeddings/oleObject19.bin"/><Relationship Id="rId46" Type="http://schemas.openxmlformats.org/officeDocument/2006/relationships/oleObject" Target="../embeddings/oleObject23.bin"/><Relationship Id="rId59" Type="http://schemas.openxmlformats.org/officeDocument/2006/relationships/image" Target="../media/image29.w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R203"/>
  <sheetViews>
    <sheetView workbookViewId="0">
      <selection activeCell="G25" sqref="G25"/>
    </sheetView>
  </sheetViews>
  <sheetFormatPr baseColWidth="10" defaultRowHeight="15" x14ac:dyDescent="0.2"/>
  <cols>
    <col min="1" max="1" width="33.6640625" customWidth="1"/>
    <col min="2" max="2" width="14.33203125" bestFit="1" customWidth="1"/>
    <col min="3" max="3" width="14.44140625" customWidth="1"/>
    <col min="4" max="4" width="13.21875" customWidth="1"/>
    <col min="5" max="5" width="13.44140625" customWidth="1"/>
    <col min="6" max="6" width="15.5546875" customWidth="1"/>
    <col min="7" max="7" width="13.33203125" customWidth="1"/>
    <col min="8" max="8" width="13.5546875" customWidth="1"/>
    <col min="12" max="12" width="13.44140625" customWidth="1"/>
  </cols>
  <sheetData>
    <row r="1" spans="1:11" ht="15.75" x14ac:dyDescent="0.25">
      <c r="A1" s="379" t="s">
        <v>7</v>
      </c>
      <c r="B1" s="379"/>
      <c r="C1" s="379"/>
      <c r="D1" s="379"/>
      <c r="E1" s="379"/>
      <c r="F1" s="379"/>
      <c r="G1" s="379"/>
      <c r="H1" s="16"/>
      <c r="I1" s="16"/>
      <c r="J1" s="16"/>
      <c r="K1" s="16"/>
    </row>
    <row r="2" spans="1:11" ht="15.75" x14ac:dyDescent="0.25">
      <c r="A2" s="380" t="s">
        <v>0</v>
      </c>
      <c r="B2" s="380"/>
      <c r="C2" s="380"/>
      <c r="D2" s="380"/>
      <c r="E2" s="380"/>
      <c r="F2" s="380"/>
      <c r="G2" s="380"/>
      <c r="H2" s="22"/>
      <c r="I2" s="22"/>
      <c r="J2" s="22"/>
      <c r="K2" s="22"/>
    </row>
    <row r="3" spans="1:11" ht="15.75" x14ac:dyDescent="0.25">
      <c r="A3" s="154" t="s">
        <v>335</v>
      </c>
      <c r="B3" s="153"/>
      <c r="C3" s="153"/>
      <c r="D3" s="153"/>
      <c r="E3" s="153"/>
      <c r="F3" s="153"/>
      <c r="G3" s="153"/>
      <c r="H3" s="153"/>
      <c r="I3" s="153"/>
      <c r="J3" s="153"/>
      <c r="K3" s="153"/>
    </row>
    <row r="4" spans="1:11" x14ac:dyDescent="0.2">
      <c r="A4" s="7" t="s">
        <v>1</v>
      </c>
      <c r="B4" s="388" t="s">
        <v>2</v>
      </c>
      <c r="C4" s="388"/>
      <c r="D4" s="155" t="s">
        <v>3</v>
      </c>
      <c r="E4" s="155"/>
      <c r="F4" s="155"/>
      <c r="G4" s="155"/>
      <c r="H4" s="14"/>
      <c r="I4" s="14"/>
    </row>
    <row r="5" spans="1:11" x14ac:dyDescent="0.2">
      <c r="A5" s="9" t="s">
        <v>6</v>
      </c>
      <c r="B5">
        <v>1</v>
      </c>
      <c r="C5">
        <v>2</v>
      </c>
      <c r="D5">
        <v>3</v>
      </c>
      <c r="E5">
        <v>4</v>
      </c>
      <c r="F5">
        <v>5</v>
      </c>
      <c r="G5">
        <v>6</v>
      </c>
      <c r="H5" s="15"/>
      <c r="I5" s="15"/>
    </row>
    <row r="6" spans="1:11" x14ac:dyDescent="0.2">
      <c r="A6" s="6" t="s">
        <v>4</v>
      </c>
      <c r="B6" s="6"/>
      <c r="C6" s="156">
        <f>ROUND((C7/$G$7),2)</f>
        <v>0.62</v>
      </c>
      <c r="D6" s="156">
        <f t="shared" ref="D6:G6" si="0">ROUND((D7/$G$7),2)</f>
        <v>0.71</v>
      </c>
      <c r="E6" s="156">
        <f t="shared" si="0"/>
        <v>0.81</v>
      </c>
      <c r="F6" s="156">
        <f t="shared" si="0"/>
        <v>0.92</v>
      </c>
      <c r="G6" s="156">
        <f t="shared" si="0"/>
        <v>1</v>
      </c>
      <c r="H6" s="124"/>
      <c r="I6" s="124"/>
    </row>
    <row r="7" spans="1:11" x14ac:dyDescent="0.2">
      <c r="A7" t="s">
        <v>338</v>
      </c>
      <c r="C7" s="5">
        <v>115000</v>
      </c>
      <c r="D7" s="5">
        <v>132000</v>
      </c>
      <c r="E7" s="5">
        <v>150000</v>
      </c>
      <c r="F7" s="5">
        <v>170000</v>
      </c>
      <c r="G7" s="5">
        <v>185000</v>
      </c>
      <c r="H7" s="15"/>
      <c r="I7" s="15"/>
    </row>
    <row r="8" spans="1:11" x14ac:dyDescent="0.2">
      <c r="A8" t="s">
        <v>5</v>
      </c>
      <c r="C8" s="5">
        <f>615*Hoja13!I26</f>
        <v>615</v>
      </c>
      <c r="D8" s="5">
        <f>615*Hoja13!I26</f>
        <v>615</v>
      </c>
      <c r="E8" s="5">
        <f>615*Hoja13!I26</f>
        <v>615</v>
      </c>
      <c r="F8" s="5">
        <f>615*Hoja13!I26</f>
        <v>615</v>
      </c>
      <c r="G8" s="5">
        <f>615*Hoja13!I26</f>
        <v>615</v>
      </c>
      <c r="H8" s="72"/>
      <c r="I8" s="72"/>
    </row>
    <row r="9" spans="1:11" x14ac:dyDescent="0.2">
      <c r="A9" s="7" t="s">
        <v>340</v>
      </c>
      <c r="B9" s="7"/>
      <c r="C9" s="96">
        <f>C7*C8</f>
        <v>70725000</v>
      </c>
      <c r="D9" s="96">
        <f t="shared" ref="D9:G9" si="1">D7*D8</f>
        <v>81180000</v>
      </c>
      <c r="E9" s="96">
        <f t="shared" si="1"/>
        <v>92250000</v>
      </c>
      <c r="F9" s="96">
        <f t="shared" si="1"/>
        <v>104550000</v>
      </c>
      <c r="G9" s="96">
        <f t="shared" si="1"/>
        <v>113775000</v>
      </c>
      <c r="H9" s="36"/>
      <c r="I9" s="36"/>
    </row>
    <row r="11" spans="1:11" ht="15.75" x14ac:dyDescent="0.25">
      <c r="A11" s="154" t="s">
        <v>336</v>
      </c>
      <c r="B11" s="153"/>
      <c r="C11" s="153"/>
      <c r="D11" s="153"/>
      <c r="E11" s="153"/>
      <c r="F11" s="153"/>
      <c r="G11" s="153"/>
    </row>
    <row r="12" spans="1:11" x14ac:dyDescent="0.2">
      <c r="A12" s="7" t="s">
        <v>1</v>
      </c>
      <c r="B12" s="388" t="s">
        <v>2</v>
      </c>
      <c r="C12" s="388"/>
      <c r="D12" s="155" t="s">
        <v>3</v>
      </c>
      <c r="E12" s="155"/>
      <c r="F12" s="155"/>
      <c r="G12" s="155"/>
    </row>
    <row r="13" spans="1:11" x14ac:dyDescent="0.2">
      <c r="A13" s="9" t="s">
        <v>6</v>
      </c>
      <c r="B13">
        <v>1</v>
      </c>
      <c r="C13">
        <v>2</v>
      </c>
      <c r="D13">
        <v>3</v>
      </c>
      <c r="E13">
        <v>4</v>
      </c>
      <c r="F13">
        <v>5</v>
      </c>
      <c r="G13">
        <v>6</v>
      </c>
    </row>
    <row r="14" spans="1:11" x14ac:dyDescent="0.2">
      <c r="A14" s="6" t="s">
        <v>4</v>
      </c>
      <c r="B14" s="6"/>
      <c r="C14" s="156">
        <f>C15/$G$15</f>
        <v>0.62121212121212122</v>
      </c>
      <c r="D14" s="156">
        <f t="shared" ref="D14:G14" si="2">D15/$G$15</f>
        <v>0.71212121212121215</v>
      </c>
      <c r="E14" s="156">
        <f t="shared" si="2"/>
        <v>0.81060606060606055</v>
      </c>
      <c r="F14" s="156">
        <f t="shared" si="2"/>
        <v>0.91666666666666663</v>
      </c>
      <c r="G14" s="156">
        <f t="shared" si="2"/>
        <v>1</v>
      </c>
    </row>
    <row r="15" spans="1:11" x14ac:dyDescent="0.2">
      <c r="A15" s="8" t="s">
        <v>337</v>
      </c>
      <c r="C15" s="5">
        <v>82000</v>
      </c>
      <c r="D15" s="5">
        <v>94000</v>
      </c>
      <c r="E15" s="5">
        <v>107000</v>
      </c>
      <c r="F15" s="5">
        <v>121000</v>
      </c>
      <c r="G15" s="5">
        <v>132000</v>
      </c>
    </row>
    <row r="16" spans="1:11" x14ac:dyDescent="0.2">
      <c r="A16" s="8" t="s">
        <v>5</v>
      </c>
      <c r="C16" s="5">
        <f>440*Hoja13!I26</f>
        <v>440</v>
      </c>
      <c r="D16" s="5">
        <f>440*Hoja13!I26</f>
        <v>440</v>
      </c>
      <c r="E16" s="5">
        <f>440*Hoja13!I26</f>
        <v>440</v>
      </c>
      <c r="F16" s="5">
        <f>440*Hoja13!I26</f>
        <v>440</v>
      </c>
      <c r="G16" s="5">
        <f>440*Hoja13!I26</f>
        <v>440</v>
      </c>
    </row>
    <row r="17" spans="1:7" x14ac:dyDescent="0.2">
      <c r="A17" s="9" t="s">
        <v>339</v>
      </c>
      <c r="B17" s="7"/>
      <c r="C17" s="96">
        <f>C15*C16</f>
        <v>36080000</v>
      </c>
      <c r="D17" s="96">
        <f t="shared" ref="D17:G17" si="3">D15*D16</f>
        <v>41360000</v>
      </c>
      <c r="E17" s="96">
        <f t="shared" si="3"/>
        <v>47080000</v>
      </c>
      <c r="F17" s="96">
        <f t="shared" si="3"/>
        <v>53240000</v>
      </c>
      <c r="G17" s="96">
        <f t="shared" si="3"/>
        <v>58080000</v>
      </c>
    </row>
    <row r="18" spans="1:7" x14ac:dyDescent="0.2">
      <c r="C18" s="5"/>
      <c r="D18" s="5"/>
      <c r="E18" s="5"/>
      <c r="F18" s="5"/>
      <c r="G18" s="5"/>
    </row>
    <row r="19" spans="1:7" ht="15.75" x14ac:dyDescent="0.25">
      <c r="A19" s="154" t="s">
        <v>569</v>
      </c>
      <c r="B19" s="153"/>
      <c r="C19" s="153"/>
      <c r="D19" s="153"/>
      <c r="E19" s="153"/>
      <c r="F19" s="153"/>
      <c r="G19" s="153"/>
    </row>
    <row r="20" spans="1:7" x14ac:dyDescent="0.2">
      <c r="A20" s="7" t="s">
        <v>1</v>
      </c>
      <c r="B20" s="388" t="s">
        <v>2</v>
      </c>
      <c r="C20" s="388"/>
      <c r="D20" s="155" t="s">
        <v>3</v>
      </c>
      <c r="E20" s="155"/>
      <c r="F20" s="155"/>
      <c r="G20" s="155"/>
    </row>
    <row r="21" spans="1:7" x14ac:dyDescent="0.2">
      <c r="A21" s="9" t="s">
        <v>6</v>
      </c>
      <c r="B21">
        <v>1</v>
      </c>
      <c r="C21">
        <v>2</v>
      </c>
      <c r="D21">
        <v>3</v>
      </c>
      <c r="E21">
        <v>4</v>
      </c>
      <c r="F21">
        <v>5</v>
      </c>
      <c r="G21">
        <v>6</v>
      </c>
    </row>
    <row r="22" spans="1:7" x14ac:dyDescent="0.2">
      <c r="A22" s="6" t="s">
        <v>4</v>
      </c>
      <c r="B22" s="6"/>
      <c r="C22" s="156">
        <f>C23/$G$23</f>
        <v>0.61818181818181817</v>
      </c>
      <c r="D22" s="156">
        <f t="shared" ref="D22:G22" si="4">D23/$G$23</f>
        <v>0.70909090909090911</v>
      </c>
      <c r="E22" s="156">
        <f t="shared" si="4"/>
        <v>0.80909090909090908</v>
      </c>
      <c r="F22" s="156">
        <f t="shared" si="4"/>
        <v>0.91818181818181821</v>
      </c>
      <c r="G22" s="156">
        <f t="shared" si="4"/>
        <v>1</v>
      </c>
    </row>
    <row r="23" spans="1:7" x14ac:dyDescent="0.2">
      <c r="A23" s="8" t="s">
        <v>337</v>
      </c>
      <c r="C23" s="5">
        <v>136000</v>
      </c>
      <c r="D23" s="5">
        <v>156000</v>
      </c>
      <c r="E23" s="5">
        <v>178000</v>
      </c>
      <c r="F23" s="5">
        <v>202000</v>
      </c>
      <c r="G23" s="5">
        <v>220000</v>
      </c>
    </row>
    <row r="24" spans="1:7" x14ac:dyDescent="0.2">
      <c r="A24" s="8" t="s">
        <v>5</v>
      </c>
      <c r="C24" s="5">
        <f>300*Hoja13!I26</f>
        <v>300</v>
      </c>
      <c r="D24" s="5">
        <f>300*Hoja13!I26</f>
        <v>300</v>
      </c>
      <c r="E24" s="5">
        <f>300*Hoja13!I26</f>
        <v>300</v>
      </c>
      <c r="F24" s="5">
        <f>300*Hoja13!I26</f>
        <v>300</v>
      </c>
      <c r="G24" s="5">
        <f>300*Hoja13!I26</f>
        <v>300</v>
      </c>
    </row>
    <row r="25" spans="1:7" x14ac:dyDescent="0.2">
      <c r="A25" s="9" t="s">
        <v>339</v>
      </c>
      <c r="B25" s="7"/>
      <c r="C25" s="96">
        <f>C23*C24</f>
        <v>40800000</v>
      </c>
      <c r="D25" s="96">
        <f t="shared" ref="D25" si="5">D23*D24</f>
        <v>46800000</v>
      </c>
      <c r="E25" s="96">
        <f t="shared" ref="E25" si="6">E23*E24</f>
        <v>53400000</v>
      </c>
      <c r="F25" s="96">
        <f t="shared" ref="F25" si="7">F23*F24</f>
        <v>60600000</v>
      </c>
      <c r="G25" s="96">
        <f t="shared" ref="G25" si="8">G23*G24</f>
        <v>66000000</v>
      </c>
    </row>
    <row r="27" spans="1:7" ht="15.75" x14ac:dyDescent="0.25">
      <c r="A27" s="39" t="s">
        <v>395</v>
      </c>
      <c r="B27" s="39"/>
      <c r="C27" s="214">
        <f>C7+C15+C23</f>
        <v>333000</v>
      </c>
      <c r="D27" s="214">
        <f t="shared" ref="D27:G27" si="9">D7+D15+D23</f>
        <v>382000</v>
      </c>
      <c r="E27" s="214">
        <f t="shared" si="9"/>
        <v>435000</v>
      </c>
      <c r="F27" s="214">
        <f t="shared" si="9"/>
        <v>493000</v>
      </c>
      <c r="G27" s="214">
        <f t="shared" si="9"/>
        <v>537000</v>
      </c>
    </row>
    <row r="28" spans="1:7" ht="15.75" x14ac:dyDescent="0.25">
      <c r="A28" s="39" t="s">
        <v>341</v>
      </c>
      <c r="B28" s="39"/>
      <c r="C28" s="214">
        <f>C9+C17+C25</f>
        <v>147605000</v>
      </c>
      <c r="D28" s="214">
        <f t="shared" ref="D28:G28" si="10">D9+D17+D25</f>
        <v>169340000</v>
      </c>
      <c r="E28" s="214">
        <f t="shared" si="10"/>
        <v>192730000</v>
      </c>
      <c r="F28" s="214">
        <f t="shared" si="10"/>
        <v>218390000</v>
      </c>
      <c r="G28" s="214">
        <f t="shared" si="10"/>
        <v>237855000</v>
      </c>
    </row>
    <row r="30" spans="1:7" ht="18.75" thickBot="1" x14ac:dyDescent="0.3">
      <c r="A30" s="317" t="s">
        <v>541</v>
      </c>
    </row>
    <row r="31" spans="1:7" ht="16.5" thickBot="1" x14ac:dyDescent="0.25">
      <c r="A31" s="302" t="s">
        <v>490</v>
      </c>
      <c r="B31" s="302" t="s">
        <v>491</v>
      </c>
      <c r="C31" s="302" t="s">
        <v>416</v>
      </c>
      <c r="D31" s="302" t="s">
        <v>492</v>
      </c>
      <c r="E31" s="302" t="s">
        <v>493</v>
      </c>
    </row>
    <row r="32" spans="1:7" ht="15.75" x14ac:dyDescent="0.2">
      <c r="A32" s="309" t="s">
        <v>494</v>
      </c>
      <c r="B32" s="304">
        <v>2</v>
      </c>
      <c r="C32" s="314">
        <v>134560</v>
      </c>
      <c r="D32" s="314">
        <f>B32*C32</f>
        <v>269120</v>
      </c>
      <c r="E32" s="332">
        <v>10</v>
      </c>
    </row>
    <row r="33" spans="1:5" ht="15.75" x14ac:dyDescent="0.2">
      <c r="A33" s="309" t="s">
        <v>495</v>
      </c>
      <c r="B33" s="304">
        <v>1</v>
      </c>
      <c r="C33" s="314">
        <v>765000</v>
      </c>
      <c r="D33" s="314">
        <f t="shared" ref="D33:D53" si="11">B33*C33</f>
        <v>765000</v>
      </c>
      <c r="E33" s="332">
        <v>10</v>
      </c>
    </row>
    <row r="34" spans="1:5" ht="31.5" x14ac:dyDescent="0.2">
      <c r="A34" s="309" t="s">
        <v>496</v>
      </c>
      <c r="B34" s="304">
        <v>1</v>
      </c>
      <c r="C34" s="314">
        <v>550000</v>
      </c>
      <c r="D34" s="314">
        <f t="shared" si="11"/>
        <v>550000</v>
      </c>
      <c r="E34" s="332">
        <v>10</v>
      </c>
    </row>
    <row r="35" spans="1:5" ht="15.75" x14ac:dyDescent="0.2">
      <c r="A35" s="309" t="s">
        <v>497</v>
      </c>
      <c r="B35" s="304">
        <v>1</v>
      </c>
      <c r="C35" s="314">
        <v>1000000</v>
      </c>
      <c r="D35" s="314">
        <f t="shared" si="11"/>
        <v>1000000</v>
      </c>
      <c r="E35" s="332">
        <v>10</v>
      </c>
    </row>
    <row r="36" spans="1:5" ht="15.75" x14ac:dyDescent="0.2">
      <c r="A36" s="309" t="s">
        <v>498</v>
      </c>
      <c r="B36" s="304">
        <v>1</v>
      </c>
      <c r="C36" s="314">
        <v>200000</v>
      </c>
      <c r="D36" s="314">
        <f t="shared" si="11"/>
        <v>200000</v>
      </c>
      <c r="E36" s="332">
        <v>10</v>
      </c>
    </row>
    <row r="37" spans="1:5" ht="31.5" x14ac:dyDescent="0.2">
      <c r="A37" s="309" t="s">
        <v>499</v>
      </c>
      <c r="B37" s="304">
        <v>1</v>
      </c>
      <c r="C37" s="314">
        <v>330000</v>
      </c>
      <c r="D37" s="314">
        <f t="shared" si="11"/>
        <v>330000</v>
      </c>
      <c r="E37" s="332">
        <v>10</v>
      </c>
    </row>
    <row r="38" spans="1:5" ht="15.75" x14ac:dyDescent="0.2">
      <c r="A38" s="309" t="s">
        <v>500</v>
      </c>
      <c r="B38" s="304">
        <v>1</v>
      </c>
      <c r="C38" s="314">
        <v>200000</v>
      </c>
      <c r="D38" s="314">
        <f t="shared" si="11"/>
        <v>200000</v>
      </c>
      <c r="E38" s="332">
        <v>10</v>
      </c>
    </row>
    <row r="39" spans="1:5" ht="15.75" x14ac:dyDescent="0.2">
      <c r="A39" s="309" t="s">
        <v>501</v>
      </c>
      <c r="B39" s="304">
        <v>1</v>
      </c>
      <c r="C39" s="314">
        <v>30000</v>
      </c>
      <c r="D39" s="314">
        <f t="shared" si="11"/>
        <v>30000</v>
      </c>
      <c r="E39" s="332">
        <v>10</v>
      </c>
    </row>
    <row r="40" spans="1:5" ht="15.75" x14ac:dyDescent="0.2">
      <c r="A40" s="309" t="s">
        <v>502</v>
      </c>
      <c r="B40" s="304">
        <v>1</v>
      </c>
      <c r="C40" s="314">
        <v>160000</v>
      </c>
      <c r="D40" s="314">
        <f t="shared" si="11"/>
        <v>160000</v>
      </c>
      <c r="E40" s="332">
        <v>10</v>
      </c>
    </row>
    <row r="41" spans="1:5" ht="15.75" x14ac:dyDescent="0.2">
      <c r="A41" s="309" t="s">
        <v>503</v>
      </c>
      <c r="B41" s="304">
        <v>1</v>
      </c>
      <c r="C41" s="314">
        <v>30000</v>
      </c>
      <c r="D41" s="314">
        <f t="shared" si="11"/>
        <v>30000</v>
      </c>
      <c r="E41" s="332">
        <v>10</v>
      </c>
    </row>
    <row r="42" spans="1:5" ht="15.75" x14ac:dyDescent="0.2">
      <c r="A42" s="309" t="s">
        <v>504</v>
      </c>
      <c r="B42" s="304">
        <v>4</v>
      </c>
      <c r="C42" s="314">
        <v>12000</v>
      </c>
      <c r="D42" s="314">
        <f t="shared" si="11"/>
        <v>48000</v>
      </c>
      <c r="E42" s="332">
        <v>10</v>
      </c>
    </row>
    <row r="43" spans="1:5" ht="15.75" x14ac:dyDescent="0.2">
      <c r="A43" s="309" t="s">
        <v>505</v>
      </c>
      <c r="B43" s="304">
        <v>3</v>
      </c>
      <c r="C43" s="314">
        <v>133334</v>
      </c>
      <c r="D43" s="314">
        <f t="shared" si="11"/>
        <v>400002</v>
      </c>
      <c r="E43" s="332">
        <v>10</v>
      </c>
    </row>
    <row r="44" spans="1:5" ht="15.75" x14ac:dyDescent="0.2">
      <c r="A44" s="309" t="s">
        <v>506</v>
      </c>
      <c r="B44" s="304">
        <v>1</v>
      </c>
      <c r="C44" s="314">
        <v>200000</v>
      </c>
      <c r="D44" s="314">
        <f t="shared" si="11"/>
        <v>200000</v>
      </c>
      <c r="E44" s="332">
        <v>10</v>
      </c>
    </row>
    <row r="45" spans="1:5" ht="15.75" x14ac:dyDescent="0.2">
      <c r="A45" s="309" t="s">
        <v>507</v>
      </c>
      <c r="B45" s="304">
        <v>1</v>
      </c>
      <c r="C45" s="314">
        <v>200000</v>
      </c>
      <c r="D45" s="314">
        <f t="shared" si="11"/>
        <v>200000</v>
      </c>
      <c r="E45" s="332">
        <v>10</v>
      </c>
    </row>
    <row r="46" spans="1:5" ht="15.75" x14ac:dyDescent="0.2">
      <c r="A46" s="309" t="s">
        <v>508</v>
      </c>
      <c r="B46" s="304">
        <v>8</v>
      </c>
      <c r="C46" s="314">
        <v>13000</v>
      </c>
      <c r="D46" s="314">
        <f t="shared" si="11"/>
        <v>104000</v>
      </c>
      <c r="E46" s="332">
        <v>10</v>
      </c>
    </row>
    <row r="47" spans="1:5" ht="15.75" x14ac:dyDescent="0.2">
      <c r="A47" s="309" t="s">
        <v>509</v>
      </c>
      <c r="B47" s="304">
        <v>1</v>
      </c>
      <c r="C47" s="314">
        <v>50000</v>
      </c>
      <c r="D47" s="314">
        <f t="shared" si="11"/>
        <v>50000</v>
      </c>
      <c r="E47" s="332">
        <v>10</v>
      </c>
    </row>
    <row r="48" spans="1:5" ht="15.75" x14ac:dyDescent="0.2">
      <c r="A48" s="309" t="s">
        <v>510</v>
      </c>
      <c r="B48" s="304">
        <v>1</v>
      </c>
      <c r="C48" s="314">
        <v>300000</v>
      </c>
      <c r="D48" s="314">
        <f t="shared" si="11"/>
        <v>300000</v>
      </c>
      <c r="E48" s="332">
        <v>10</v>
      </c>
    </row>
    <row r="49" spans="1:5" ht="15.75" x14ac:dyDescent="0.2">
      <c r="A49" s="309" t="s">
        <v>511</v>
      </c>
      <c r="B49" s="304">
        <v>1</v>
      </c>
      <c r="C49" s="314">
        <v>140000</v>
      </c>
      <c r="D49" s="314">
        <f t="shared" si="11"/>
        <v>140000</v>
      </c>
      <c r="E49" s="332">
        <v>10</v>
      </c>
    </row>
    <row r="50" spans="1:5" ht="15.75" x14ac:dyDescent="0.2">
      <c r="A50" s="309" t="s">
        <v>512</v>
      </c>
      <c r="B50" s="304">
        <v>1</v>
      </c>
      <c r="C50" s="314">
        <v>300000</v>
      </c>
      <c r="D50" s="314">
        <f t="shared" si="11"/>
        <v>300000</v>
      </c>
      <c r="E50" s="332">
        <v>10</v>
      </c>
    </row>
    <row r="51" spans="1:5" ht="15.75" x14ac:dyDescent="0.2">
      <c r="A51" s="309" t="s">
        <v>513</v>
      </c>
      <c r="B51" s="304">
        <v>1</v>
      </c>
      <c r="C51" s="314">
        <v>350000</v>
      </c>
      <c r="D51" s="314">
        <f t="shared" si="11"/>
        <v>350000</v>
      </c>
      <c r="E51" s="332">
        <v>10</v>
      </c>
    </row>
    <row r="52" spans="1:5" ht="15.75" x14ac:dyDescent="0.2">
      <c r="A52" s="309" t="s">
        <v>514</v>
      </c>
      <c r="B52" s="304">
        <v>1</v>
      </c>
      <c r="C52" s="314">
        <v>27000</v>
      </c>
      <c r="D52" s="314">
        <f t="shared" si="11"/>
        <v>27000</v>
      </c>
      <c r="E52" s="332">
        <v>10</v>
      </c>
    </row>
    <row r="53" spans="1:5" ht="16.5" thickBot="1" x14ac:dyDescent="0.25">
      <c r="A53" s="310" t="s">
        <v>515</v>
      </c>
      <c r="B53" s="306">
        <v>1</v>
      </c>
      <c r="C53" s="315">
        <v>120000</v>
      </c>
      <c r="D53" s="315">
        <f t="shared" si="11"/>
        <v>120000</v>
      </c>
      <c r="E53" s="333">
        <v>10</v>
      </c>
    </row>
    <row r="54" spans="1:5" ht="16.5" thickBot="1" x14ac:dyDescent="0.25">
      <c r="A54" s="311" t="s">
        <v>15</v>
      </c>
      <c r="B54" s="308"/>
      <c r="C54" s="308"/>
      <c r="D54" s="316">
        <f>SUM(D32:D53)</f>
        <v>5773122</v>
      </c>
      <c r="E54" s="308"/>
    </row>
    <row r="55" spans="1:5" ht="15.75" x14ac:dyDescent="0.2">
      <c r="A55" s="318"/>
      <c r="B55" s="319"/>
      <c r="C55" s="319"/>
      <c r="D55" s="320"/>
      <c r="E55" s="319"/>
    </row>
    <row r="56" spans="1:5" ht="19.5" thickBot="1" x14ac:dyDescent="0.25">
      <c r="A56" s="321" t="s">
        <v>542</v>
      </c>
    </row>
    <row r="57" spans="1:5" ht="15.75" x14ac:dyDescent="0.2">
      <c r="A57" s="392" t="s">
        <v>300</v>
      </c>
      <c r="B57" s="392" t="s">
        <v>352</v>
      </c>
      <c r="C57" s="312" t="s">
        <v>516</v>
      </c>
      <c r="D57" s="312" t="s">
        <v>518</v>
      </c>
      <c r="E57" s="312" t="s">
        <v>520</v>
      </c>
    </row>
    <row r="58" spans="1:5" ht="16.5" thickBot="1" x14ac:dyDescent="0.25">
      <c r="A58" s="393"/>
      <c r="B58" s="393"/>
      <c r="C58" s="313" t="s">
        <v>517</v>
      </c>
      <c r="D58" s="313" t="s">
        <v>519</v>
      </c>
      <c r="E58" s="313" t="s">
        <v>521</v>
      </c>
    </row>
    <row r="59" spans="1:5" ht="15.75" x14ac:dyDescent="0.2">
      <c r="A59" s="303" t="s">
        <v>522</v>
      </c>
      <c r="B59" s="304">
        <v>2</v>
      </c>
      <c r="C59" s="314">
        <v>145000</v>
      </c>
      <c r="D59" s="314">
        <f>B59*C59</f>
        <v>290000</v>
      </c>
      <c r="E59" s="304">
        <v>5</v>
      </c>
    </row>
    <row r="60" spans="1:5" ht="15.75" x14ac:dyDescent="0.2">
      <c r="A60" s="303" t="s">
        <v>523</v>
      </c>
      <c r="B60" s="304">
        <v>8</v>
      </c>
      <c r="C60" s="314">
        <v>12000</v>
      </c>
      <c r="D60" s="314">
        <f t="shared" ref="D60:D76" si="12">B60*C60</f>
        <v>96000</v>
      </c>
      <c r="E60" s="304">
        <v>5</v>
      </c>
    </row>
    <row r="61" spans="1:5" ht="15.75" x14ac:dyDescent="0.2">
      <c r="A61" s="303" t="s">
        <v>524</v>
      </c>
      <c r="B61" s="304">
        <v>3</v>
      </c>
      <c r="C61" s="314">
        <v>35000</v>
      </c>
      <c r="D61" s="314">
        <f t="shared" si="12"/>
        <v>105000</v>
      </c>
      <c r="E61" s="304">
        <v>5</v>
      </c>
    </row>
    <row r="62" spans="1:5" ht="15.75" x14ac:dyDescent="0.2">
      <c r="A62" s="303" t="s">
        <v>525</v>
      </c>
      <c r="B62" s="304">
        <v>1</v>
      </c>
      <c r="C62" s="314">
        <v>1500000</v>
      </c>
      <c r="D62" s="314">
        <f t="shared" si="12"/>
        <v>1500000</v>
      </c>
      <c r="E62" s="304">
        <v>5</v>
      </c>
    </row>
    <row r="63" spans="1:5" ht="15.75" x14ac:dyDescent="0.2">
      <c r="A63" s="303" t="s">
        <v>526</v>
      </c>
      <c r="B63" s="304">
        <v>1</v>
      </c>
      <c r="C63" s="314">
        <v>350000</v>
      </c>
      <c r="D63" s="314">
        <f t="shared" si="12"/>
        <v>350000</v>
      </c>
      <c r="E63" s="304">
        <v>5</v>
      </c>
    </row>
    <row r="64" spans="1:5" ht="15.75" x14ac:dyDescent="0.2">
      <c r="A64" s="303" t="s">
        <v>527</v>
      </c>
      <c r="B64" s="304">
        <v>1</v>
      </c>
      <c r="C64" s="314">
        <v>700000</v>
      </c>
      <c r="D64" s="314">
        <f t="shared" si="12"/>
        <v>700000</v>
      </c>
      <c r="E64" s="304" t="s">
        <v>528</v>
      </c>
    </row>
    <row r="65" spans="1:12" ht="15.75" x14ac:dyDescent="0.2">
      <c r="A65" s="303" t="s">
        <v>529</v>
      </c>
      <c r="B65" s="304">
        <v>1</v>
      </c>
      <c r="C65" s="314">
        <v>35000</v>
      </c>
      <c r="D65" s="314">
        <f t="shared" si="12"/>
        <v>35000</v>
      </c>
      <c r="E65" s="304">
        <v>5</v>
      </c>
    </row>
    <row r="66" spans="1:12" ht="15.75" x14ac:dyDescent="0.2">
      <c r="A66" s="303" t="s">
        <v>530</v>
      </c>
      <c r="B66" s="304">
        <v>1</v>
      </c>
      <c r="C66" s="314">
        <v>1100000</v>
      </c>
      <c r="D66" s="314">
        <f t="shared" si="12"/>
        <v>1100000</v>
      </c>
      <c r="E66" s="304">
        <v>5</v>
      </c>
    </row>
    <row r="67" spans="1:12" ht="15.75" x14ac:dyDescent="0.2">
      <c r="A67" s="303" t="s">
        <v>531</v>
      </c>
      <c r="B67" s="304">
        <v>1</v>
      </c>
      <c r="C67" s="314">
        <v>60000</v>
      </c>
      <c r="D67" s="314">
        <f t="shared" si="12"/>
        <v>60000</v>
      </c>
      <c r="E67" s="304">
        <v>5</v>
      </c>
    </row>
    <row r="68" spans="1:12" ht="15.75" x14ac:dyDescent="0.2">
      <c r="A68" s="303" t="s">
        <v>532</v>
      </c>
      <c r="B68" s="304">
        <v>1</v>
      </c>
      <c r="C68" s="314">
        <v>395000</v>
      </c>
      <c r="D68" s="314">
        <f t="shared" si="12"/>
        <v>395000</v>
      </c>
      <c r="E68" s="304">
        <v>5</v>
      </c>
    </row>
    <row r="69" spans="1:12" ht="15.75" x14ac:dyDescent="0.2">
      <c r="A69" s="303" t="s">
        <v>533</v>
      </c>
      <c r="B69" s="304">
        <v>1</v>
      </c>
      <c r="C69" s="314">
        <v>26000</v>
      </c>
      <c r="D69" s="314">
        <f t="shared" si="12"/>
        <v>26000</v>
      </c>
      <c r="E69" s="304">
        <v>5</v>
      </c>
    </row>
    <row r="70" spans="1:12" ht="15.75" x14ac:dyDescent="0.2">
      <c r="A70" s="303" t="s">
        <v>534</v>
      </c>
      <c r="B70" s="304">
        <v>1</v>
      </c>
      <c r="C70" s="314">
        <v>25500</v>
      </c>
      <c r="D70" s="314">
        <f t="shared" si="12"/>
        <v>25500</v>
      </c>
      <c r="E70" s="304">
        <v>5</v>
      </c>
    </row>
    <row r="71" spans="1:12" ht="15.75" x14ac:dyDescent="0.2">
      <c r="A71" s="303" t="s">
        <v>535</v>
      </c>
      <c r="B71" s="304">
        <v>1</v>
      </c>
      <c r="C71" s="314">
        <v>197000</v>
      </c>
      <c r="D71" s="314">
        <f t="shared" si="12"/>
        <v>197000</v>
      </c>
      <c r="E71" s="304">
        <v>5</v>
      </c>
    </row>
    <row r="72" spans="1:12" ht="15.75" x14ac:dyDescent="0.2">
      <c r="A72" s="303" t="s">
        <v>536</v>
      </c>
      <c r="B72" s="304">
        <v>1</v>
      </c>
      <c r="C72" s="314">
        <v>90000</v>
      </c>
      <c r="D72" s="314">
        <f t="shared" si="12"/>
        <v>90000</v>
      </c>
      <c r="E72" s="304">
        <v>5</v>
      </c>
    </row>
    <row r="73" spans="1:12" ht="15.75" x14ac:dyDescent="0.2">
      <c r="A73" s="303" t="s">
        <v>537</v>
      </c>
      <c r="B73" s="304">
        <v>4</v>
      </c>
      <c r="C73" s="314">
        <v>12000</v>
      </c>
      <c r="D73" s="314">
        <f t="shared" si="12"/>
        <v>48000</v>
      </c>
      <c r="E73" s="304">
        <v>5</v>
      </c>
    </row>
    <row r="74" spans="1:12" ht="15.75" x14ac:dyDescent="0.2">
      <c r="A74" s="303" t="s">
        <v>538</v>
      </c>
      <c r="B74" s="304">
        <v>2</v>
      </c>
      <c r="C74" s="314">
        <v>15000</v>
      </c>
      <c r="D74" s="314">
        <f t="shared" si="12"/>
        <v>30000</v>
      </c>
      <c r="E74" s="304">
        <v>5</v>
      </c>
    </row>
    <row r="75" spans="1:12" ht="15.75" x14ac:dyDescent="0.2">
      <c r="A75" s="303" t="s">
        <v>539</v>
      </c>
      <c r="B75" s="304">
        <v>2</v>
      </c>
      <c r="C75" s="314">
        <v>3000</v>
      </c>
      <c r="D75" s="314">
        <f t="shared" si="12"/>
        <v>6000</v>
      </c>
      <c r="E75" s="304">
        <v>5</v>
      </c>
    </row>
    <row r="76" spans="1:12" ht="16.5" thickBot="1" x14ac:dyDescent="0.25">
      <c r="A76" s="305" t="s">
        <v>540</v>
      </c>
      <c r="B76" s="306">
        <v>1</v>
      </c>
      <c r="C76" s="315">
        <v>50000</v>
      </c>
      <c r="D76" s="315">
        <f t="shared" si="12"/>
        <v>50000</v>
      </c>
      <c r="E76" s="306">
        <v>5</v>
      </c>
    </row>
    <row r="77" spans="1:12" ht="16.5" thickBot="1" x14ac:dyDescent="0.25">
      <c r="A77" s="308" t="s">
        <v>15</v>
      </c>
      <c r="B77" s="308"/>
      <c r="C77" s="308"/>
      <c r="D77" s="316">
        <f>SUM(D59:D76)</f>
        <v>5103500</v>
      </c>
      <c r="E77" s="308"/>
    </row>
    <row r="78" spans="1:12" ht="15.75" x14ac:dyDescent="0.2">
      <c r="A78" s="319"/>
      <c r="B78" s="319"/>
      <c r="C78" s="319"/>
      <c r="D78" s="322"/>
      <c r="E78" s="319"/>
    </row>
    <row r="80" spans="1:12" ht="15.75" x14ac:dyDescent="0.25">
      <c r="A80" s="380" t="s">
        <v>8</v>
      </c>
      <c r="B80" s="380"/>
      <c r="C80" s="380"/>
      <c r="D80" s="380"/>
      <c r="E80" s="380"/>
      <c r="F80" s="380"/>
      <c r="G80" s="380"/>
      <c r="H80" s="380"/>
      <c r="I80" s="380"/>
      <c r="J80" s="380"/>
      <c r="K80" s="380"/>
      <c r="L80" s="380"/>
    </row>
    <row r="81" spans="1:12" x14ac:dyDescent="0.2">
      <c r="A81" s="7" t="s">
        <v>1</v>
      </c>
      <c r="B81" s="7"/>
      <c r="C81" s="7"/>
      <c r="D81" s="388" t="s">
        <v>2</v>
      </c>
      <c r="E81" s="388"/>
      <c r="F81" s="155" t="s">
        <v>3</v>
      </c>
      <c r="G81" s="155"/>
      <c r="H81" s="155"/>
      <c r="I81" s="155"/>
      <c r="J81" s="385" t="s">
        <v>343</v>
      </c>
      <c r="K81" s="14"/>
      <c r="L81" s="14"/>
    </row>
    <row r="82" spans="1:12" x14ac:dyDescent="0.2">
      <c r="A82" s="9" t="s">
        <v>6</v>
      </c>
      <c r="B82" s="8"/>
      <c r="C82" s="8"/>
      <c r="D82" s="1">
        <v>1</v>
      </c>
      <c r="E82" s="1">
        <v>2</v>
      </c>
      <c r="F82" s="25">
        <v>3</v>
      </c>
      <c r="G82" s="1">
        <v>4</v>
      </c>
      <c r="H82" s="1">
        <v>5</v>
      </c>
      <c r="I82" s="1">
        <v>6</v>
      </c>
      <c r="J82" s="386"/>
      <c r="K82" s="153"/>
      <c r="L82" s="386"/>
    </row>
    <row r="83" spans="1:12" x14ac:dyDescent="0.2">
      <c r="A83" s="6" t="s">
        <v>4</v>
      </c>
      <c r="B83" s="6"/>
      <c r="C83" s="6"/>
      <c r="D83" s="6"/>
      <c r="E83" s="10">
        <f>C22</f>
        <v>0.61818181818181817</v>
      </c>
      <c r="F83" s="10">
        <f>D22</f>
        <v>0.70909090909090911</v>
      </c>
      <c r="G83" s="10">
        <f>E22</f>
        <v>0.80909090909090908</v>
      </c>
      <c r="H83" s="10">
        <f>F22</f>
        <v>0.91818181818181821</v>
      </c>
      <c r="I83" s="10">
        <f>G22</f>
        <v>1</v>
      </c>
      <c r="J83" s="387"/>
      <c r="K83" s="124"/>
      <c r="L83" s="386"/>
    </row>
    <row r="84" spans="1:12" x14ac:dyDescent="0.2">
      <c r="A84" s="8" t="s">
        <v>10</v>
      </c>
      <c r="B84" s="8" t="s">
        <v>16</v>
      </c>
      <c r="C84" s="8" t="s">
        <v>17</v>
      </c>
      <c r="J84" s="15"/>
      <c r="K84" s="15"/>
      <c r="L84" s="15"/>
    </row>
    <row r="85" spans="1:12" x14ac:dyDescent="0.2">
      <c r="A85" s="8" t="s">
        <v>11</v>
      </c>
      <c r="B85" s="158">
        <v>0</v>
      </c>
      <c r="C85" s="8">
        <v>20</v>
      </c>
      <c r="J85" s="15"/>
      <c r="K85" s="15"/>
      <c r="L85" s="33"/>
    </row>
    <row r="86" spans="1:12" x14ac:dyDescent="0.2">
      <c r="A86" s="8" t="s">
        <v>12</v>
      </c>
      <c r="B86" s="158">
        <f>D54</f>
        <v>5773122</v>
      </c>
      <c r="C86" s="8">
        <v>10</v>
      </c>
      <c r="E86" s="5">
        <f>$B86/$C86</f>
        <v>577312.19999999995</v>
      </c>
      <c r="F86" s="5">
        <f>$B86/$C86</f>
        <v>577312.19999999995</v>
      </c>
      <c r="G86" s="5">
        <f t="shared" ref="G86:I88" si="13">$B86/$C86</f>
        <v>577312.19999999995</v>
      </c>
      <c r="H86" s="5">
        <f t="shared" si="13"/>
        <v>577312.19999999995</v>
      </c>
      <c r="I86" s="5">
        <f t="shared" si="13"/>
        <v>577312.19999999995</v>
      </c>
      <c r="J86" s="72">
        <f>B86-(E86+F86+G86+H86+I86)</f>
        <v>2886561</v>
      </c>
      <c r="K86" s="15"/>
      <c r="L86" s="33"/>
    </row>
    <row r="87" spans="1:12" x14ac:dyDescent="0.2">
      <c r="A87" s="8" t="s">
        <v>13</v>
      </c>
      <c r="B87" s="158">
        <v>0</v>
      </c>
      <c r="C87" s="8">
        <v>5</v>
      </c>
      <c r="E87" s="5">
        <f t="shared" ref="E87:E88" si="14">$B87/$C87</f>
        <v>0</v>
      </c>
      <c r="F87" s="5"/>
      <c r="G87" s="5"/>
      <c r="H87" s="5"/>
      <c r="I87" s="5"/>
      <c r="J87" s="15"/>
      <c r="K87" s="15"/>
      <c r="L87" s="33"/>
    </row>
    <row r="88" spans="1:12" x14ac:dyDescent="0.2">
      <c r="A88" s="8" t="s">
        <v>342</v>
      </c>
      <c r="B88" s="158">
        <f>D77</f>
        <v>5103500</v>
      </c>
      <c r="C88" s="8">
        <v>5</v>
      </c>
      <c r="E88" s="5">
        <f t="shared" si="14"/>
        <v>1020700</v>
      </c>
      <c r="F88" s="5">
        <f t="shared" ref="F88" si="15">$B88/$C88</f>
        <v>1020700</v>
      </c>
      <c r="G88" s="5">
        <f t="shared" si="13"/>
        <v>1020700</v>
      </c>
      <c r="H88" s="5">
        <f t="shared" si="13"/>
        <v>1020700</v>
      </c>
      <c r="I88" s="5">
        <f t="shared" si="13"/>
        <v>1020700</v>
      </c>
      <c r="J88" s="72">
        <f>B88-(E88+F88+G88+H88+I88)</f>
        <v>0</v>
      </c>
      <c r="K88" s="15"/>
      <c r="L88" s="33"/>
    </row>
    <row r="89" spans="1:12" x14ac:dyDescent="0.2">
      <c r="A89" s="8" t="s">
        <v>14</v>
      </c>
      <c r="B89" s="8"/>
      <c r="C89" s="8"/>
      <c r="J89" s="15"/>
      <c r="K89" s="15"/>
      <c r="L89" s="33"/>
    </row>
    <row r="90" spans="1:12" x14ac:dyDescent="0.2">
      <c r="A90" s="8" t="s">
        <v>141</v>
      </c>
      <c r="B90" s="8"/>
      <c r="C90" s="8"/>
      <c r="J90" s="15"/>
      <c r="K90" s="15"/>
      <c r="L90" s="33"/>
    </row>
    <row r="91" spans="1:12" x14ac:dyDescent="0.2">
      <c r="A91" s="9" t="s">
        <v>15</v>
      </c>
      <c r="B91" s="9"/>
      <c r="C91" s="9"/>
      <c r="D91" s="7"/>
      <c r="E91" s="96">
        <f>SUM(E86:E90)</f>
        <v>1598012.2</v>
      </c>
      <c r="F91" s="96">
        <f>SUM(F85:F89)</f>
        <v>1598012.2</v>
      </c>
      <c r="G91" s="96">
        <f t="shared" ref="G91:J91" si="16">SUM(G85:G89)</f>
        <v>1598012.2</v>
      </c>
      <c r="H91" s="96">
        <f t="shared" si="16"/>
        <v>1598012.2</v>
      </c>
      <c r="I91" s="96">
        <f t="shared" si="16"/>
        <v>1598012.2</v>
      </c>
      <c r="J91" s="96">
        <f t="shared" si="16"/>
        <v>2886561</v>
      </c>
      <c r="K91" s="15"/>
      <c r="L91" s="33"/>
    </row>
    <row r="93" spans="1:12" ht="19.5" thickBot="1" x14ac:dyDescent="0.35">
      <c r="A93" s="328" t="s">
        <v>568</v>
      </c>
    </row>
    <row r="94" spans="1:12" ht="15.75" x14ac:dyDescent="0.2">
      <c r="A94" s="392" t="s">
        <v>543</v>
      </c>
      <c r="B94" s="312" t="s">
        <v>21</v>
      </c>
    </row>
    <row r="95" spans="1:12" ht="16.5" thickBot="1" x14ac:dyDescent="0.25">
      <c r="A95" s="393"/>
      <c r="B95" s="313" t="s">
        <v>544</v>
      </c>
    </row>
    <row r="96" spans="1:12" ht="16.5" thickBot="1" x14ac:dyDescent="0.25">
      <c r="A96" s="323" t="s">
        <v>545</v>
      </c>
      <c r="B96" s="324"/>
    </row>
    <row r="97" spans="1:2" ht="15.75" x14ac:dyDescent="0.2">
      <c r="A97" s="325" t="s">
        <v>546</v>
      </c>
      <c r="B97" s="314">
        <v>2500000</v>
      </c>
    </row>
    <row r="98" spans="1:2" ht="15.75" x14ac:dyDescent="0.2">
      <c r="A98" s="325" t="s">
        <v>547</v>
      </c>
      <c r="B98" s="314">
        <v>200000</v>
      </c>
    </row>
    <row r="99" spans="1:2" ht="15.75" x14ac:dyDescent="0.2">
      <c r="A99" s="325" t="s">
        <v>548</v>
      </c>
      <c r="B99" s="314">
        <v>500000</v>
      </c>
    </row>
    <row r="100" spans="1:2" ht="15.75" x14ac:dyDescent="0.2">
      <c r="A100" s="325" t="s">
        <v>549</v>
      </c>
      <c r="B100" s="314">
        <v>300000</v>
      </c>
    </row>
    <row r="101" spans="1:2" ht="16.5" thickBot="1" x14ac:dyDescent="0.25">
      <c r="A101" s="324" t="s">
        <v>550</v>
      </c>
      <c r="B101" s="315">
        <v>300000</v>
      </c>
    </row>
    <row r="102" spans="1:2" ht="31.5" x14ac:dyDescent="0.2">
      <c r="A102" s="326" t="s">
        <v>551</v>
      </c>
      <c r="B102" s="327">
        <f>SUM(B97:B101)</f>
        <v>3800000</v>
      </c>
    </row>
    <row r="103" spans="1:2" ht="16.5" thickBot="1" x14ac:dyDescent="0.25">
      <c r="A103" s="323" t="s">
        <v>552</v>
      </c>
      <c r="B103" s="307"/>
    </row>
    <row r="104" spans="1:2" ht="15.75" x14ac:dyDescent="0.2">
      <c r="A104" s="325" t="s">
        <v>553</v>
      </c>
      <c r="B104" s="314">
        <v>60000</v>
      </c>
    </row>
    <row r="105" spans="1:2" ht="31.5" x14ac:dyDescent="0.2">
      <c r="A105" s="325" t="s">
        <v>554</v>
      </c>
      <c r="B105" s="314">
        <v>2600000</v>
      </c>
    </row>
    <row r="106" spans="1:2" ht="15.75" x14ac:dyDescent="0.2">
      <c r="A106" s="325" t="s">
        <v>555</v>
      </c>
      <c r="B106" s="314">
        <v>20000</v>
      </c>
    </row>
    <row r="107" spans="1:2" ht="15.75" x14ac:dyDescent="0.2">
      <c r="A107" s="325" t="s">
        <v>556</v>
      </c>
      <c r="B107" s="314">
        <v>700000</v>
      </c>
    </row>
    <row r="108" spans="1:2" ht="15.75" x14ac:dyDescent="0.2">
      <c r="A108" s="325" t="s">
        <v>557</v>
      </c>
      <c r="B108" s="314">
        <v>80000</v>
      </c>
    </row>
    <row r="109" spans="1:2" ht="16.5" thickBot="1" x14ac:dyDescent="0.25">
      <c r="A109" s="324" t="s">
        <v>558</v>
      </c>
      <c r="B109" s="315">
        <v>200000</v>
      </c>
    </row>
    <row r="110" spans="1:2" ht="32.25" thickBot="1" x14ac:dyDescent="0.25">
      <c r="A110" s="323" t="s">
        <v>559</v>
      </c>
      <c r="B110" s="316">
        <f>SUM(B104:B109)</f>
        <v>3660000</v>
      </c>
    </row>
    <row r="111" spans="1:2" ht="16.5" thickBot="1" x14ac:dyDescent="0.25">
      <c r="A111" s="323" t="s">
        <v>560</v>
      </c>
      <c r="B111" s="307"/>
    </row>
    <row r="112" spans="1:2" ht="15.75" x14ac:dyDescent="0.2">
      <c r="A112" s="325" t="s">
        <v>561</v>
      </c>
      <c r="B112" s="314">
        <v>115000</v>
      </c>
    </row>
    <row r="113" spans="1:12" ht="15.75" x14ac:dyDescent="0.2">
      <c r="A113" s="325" t="s">
        <v>562</v>
      </c>
      <c r="B113" s="314">
        <v>110000</v>
      </c>
    </row>
    <row r="114" spans="1:12" ht="15.75" x14ac:dyDescent="0.2">
      <c r="A114" s="325" t="s">
        <v>563</v>
      </c>
      <c r="B114" s="314">
        <v>17400</v>
      </c>
    </row>
    <row r="115" spans="1:12" ht="15.75" x14ac:dyDescent="0.2">
      <c r="A115" s="325" t="s">
        <v>564</v>
      </c>
      <c r="B115" s="314">
        <v>1600000</v>
      </c>
    </row>
    <row r="116" spans="1:12" ht="16.5" thickBot="1" x14ac:dyDescent="0.25">
      <c r="A116" s="324" t="s">
        <v>565</v>
      </c>
      <c r="B116" s="315">
        <v>120000</v>
      </c>
    </row>
    <row r="117" spans="1:12" ht="32.25" thickBot="1" x14ac:dyDescent="0.25">
      <c r="A117" s="323" t="s">
        <v>566</v>
      </c>
      <c r="B117" s="316">
        <f>SUM(B112:B116)</f>
        <v>1962400</v>
      </c>
    </row>
    <row r="118" spans="1:12" ht="32.25" thickBot="1" x14ac:dyDescent="0.25">
      <c r="A118" s="323" t="s">
        <v>567</v>
      </c>
      <c r="B118" s="316">
        <f>B117+B110+B102</f>
        <v>9422400</v>
      </c>
    </row>
    <row r="122" spans="1:12" ht="15.75" x14ac:dyDescent="0.2">
      <c r="A122" s="394" t="s">
        <v>18</v>
      </c>
      <c r="B122" s="394"/>
      <c r="C122" s="394"/>
      <c r="D122" s="394"/>
      <c r="E122" s="394"/>
      <c r="F122" s="394"/>
      <c r="G122" s="394"/>
      <c r="H122" s="394"/>
      <c r="I122" s="394"/>
      <c r="J122" s="394"/>
      <c r="K122" s="394"/>
    </row>
    <row r="123" spans="1:12" ht="15.75" x14ac:dyDescent="0.25">
      <c r="A123" s="380" t="s">
        <v>19</v>
      </c>
      <c r="B123" s="380"/>
      <c r="C123" s="380"/>
      <c r="D123" s="380"/>
      <c r="E123" s="380"/>
      <c r="F123" s="380"/>
      <c r="G123" s="380"/>
      <c r="H123" s="380"/>
      <c r="I123" s="380"/>
      <c r="J123" s="380"/>
      <c r="K123" s="380"/>
    </row>
    <row r="124" spans="1:12" x14ac:dyDescent="0.2">
      <c r="A124" s="7" t="s">
        <v>1</v>
      </c>
      <c r="B124" s="7" t="s">
        <v>21</v>
      </c>
      <c r="C124" s="7" t="s">
        <v>17</v>
      </c>
      <c r="D124" s="388" t="s">
        <v>2</v>
      </c>
      <c r="E124" s="388"/>
      <c r="F124" s="155" t="s">
        <v>3</v>
      </c>
      <c r="G124" s="155"/>
      <c r="H124" s="155"/>
      <c r="I124" s="155"/>
      <c r="J124" s="14"/>
      <c r="K124" s="14"/>
      <c r="L124" s="14"/>
    </row>
    <row r="125" spans="1:12" x14ac:dyDescent="0.2">
      <c r="A125" s="9" t="s">
        <v>6</v>
      </c>
      <c r="B125" s="9"/>
      <c r="C125" s="9"/>
      <c r="D125" s="159">
        <v>1</v>
      </c>
      <c r="E125" s="159">
        <v>2</v>
      </c>
      <c r="F125" s="160">
        <v>3</v>
      </c>
      <c r="G125" s="159">
        <v>4</v>
      </c>
      <c r="H125" s="159">
        <v>5</v>
      </c>
      <c r="I125" s="159">
        <v>6</v>
      </c>
      <c r="J125" s="153"/>
      <c r="K125" s="153"/>
      <c r="L125" s="386"/>
    </row>
    <row r="126" spans="1:12" x14ac:dyDescent="0.2">
      <c r="A126" s="6" t="s">
        <v>4</v>
      </c>
      <c r="B126" s="6"/>
      <c r="C126" s="6"/>
      <c r="D126" s="6"/>
      <c r="E126" s="10">
        <f>E83</f>
        <v>0.61818181818181817</v>
      </c>
      <c r="F126" s="10">
        <f>F83</f>
        <v>0.70909090909090911</v>
      </c>
      <c r="G126" s="10">
        <f>G83</f>
        <v>0.80909090909090908</v>
      </c>
      <c r="H126" s="10">
        <f>H83</f>
        <v>0.91818181818181821</v>
      </c>
      <c r="I126" s="10">
        <f>I83</f>
        <v>1</v>
      </c>
      <c r="J126" s="124"/>
      <c r="K126" s="124"/>
      <c r="L126" s="386"/>
    </row>
    <row r="127" spans="1:12" x14ac:dyDescent="0.2">
      <c r="A127" s="9" t="s">
        <v>20</v>
      </c>
      <c r="B127" s="96">
        <f>B118</f>
        <v>9422400</v>
      </c>
      <c r="C127" s="7">
        <v>5</v>
      </c>
      <c r="D127" s="7"/>
      <c r="E127" s="96">
        <f>$B127/$C127</f>
        <v>1884480</v>
      </c>
      <c r="F127" s="96">
        <f t="shared" ref="F127:I127" si="17">$B127/$C127</f>
        <v>1884480</v>
      </c>
      <c r="G127" s="96">
        <f t="shared" si="17"/>
        <v>1884480</v>
      </c>
      <c r="H127" s="96">
        <f t="shared" si="17"/>
        <v>1884480</v>
      </c>
      <c r="I127" s="96">
        <f t="shared" si="17"/>
        <v>1884480</v>
      </c>
      <c r="J127" s="15"/>
      <c r="K127" s="15"/>
      <c r="L127" s="15"/>
    </row>
    <row r="130" spans="1:11" ht="15.75" x14ac:dyDescent="0.25">
      <c r="A130" s="379" t="s">
        <v>22</v>
      </c>
      <c r="B130" s="379"/>
      <c r="C130" s="379"/>
      <c r="D130" s="379"/>
      <c r="E130" s="379"/>
      <c r="F130" s="379"/>
      <c r="G130" s="379"/>
      <c r="H130" s="379"/>
      <c r="I130" s="379"/>
      <c r="J130" s="16"/>
      <c r="K130" s="16"/>
    </row>
    <row r="131" spans="1:11" ht="15.75" x14ac:dyDescent="0.25">
      <c r="A131" s="380" t="s">
        <v>23</v>
      </c>
      <c r="B131" s="380"/>
      <c r="C131" s="380"/>
      <c r="D131" s="380"/>
      <c r="E131" s="380"/>
      <c r="F131" s="380"/>
      <c r="G131" s="380"/>
      <c r="H131" s="380"/>
      <c r="I131" s="380"/>
      <c r="J131" s="22"/>
      <c r="K131" s="22"/>
    </row>
    <row r="132" spans="1:11" x14ac:dyDescent="0.2">
      <c r="A132" s="7" t="s">
        <v>1</v>
      </c>
      <c r="B132" s="388" t="s">
        <v>2</v>
      </c>
      <c r="C132" s="388"/>
      <c r="D132" s="388" t="s">
        <v>3</v>
      </c>
      <c r="E132" s="388"/>
      <c r="F132" s="388"/>
      <c r="G132" s="388"/>
      <c r="H132" s="14"/>
      <c r="I132" s="14"/>
      <c r="J132" s="15"/>
      <c r="K132" s="15"/>
    </row>
    <row r="133" spans="1:11" x14ac:dyDescent="0.2">
      <c r="A133" s="9" t="s">
        <v>6</v>
      </c>
      <c r="B133" s="159">
        <v>1</v>
      </c>
      <c r="C133" s="159">
        <v>2</v>
      </c>
      <c r="D133" s="160">
        <v>3</v>
      </c>
      <c r="E133" s="159">
        <v>4</v>
      </c>
      <c r="F133" s="159">
        <v>5</v>
      </c>
      <c r="G133" s="159">
        <v>6</v>
      </c>
      <c r="H133" s="153"/>
      <c r="I133" s="153"/>
    </row>
    <row r="134" spans="1:11" x14ac:dyDescent="0.2">
      <c r="A134" s="6" t="s">
        <v>4</v>
      </c>
      <c r="B134" s="6"/>
      <c r="C134" s="6"/>
      <c r="D134" s="10">
        <v>0.6</v>
      </c>
      <c r="E134" s="10">
        <v>0.8</v>
      </c>
      <c r="F134" s="10">
        <v>1</v>
      </c>
      <c r="G134" s="10">
        <v>1</v>
      </c>
      <c r="H134" s="124"/>
      <c r="I134" s="124"/>
    </row>
    <row r="135" spans="1:11" x14ac:dyDescent="0.2">
      <c r="A135" s="8" t="s">
        <v>34</v>
      </c>
      <c r="C135" s="5">
        <f>D147</f>
        <v>1050000</v>
      </c>
      <c r="D135" s="5">
        <f>D148</f>
        <v>911646.40428406186</v>
      </c>
      <c r="E135" s="5">
        <f>D149</f>
        <v>744238.55346777674</v>
      </c>
      <c r="F135" s="5">
        <f>D150</f>
        <v>541675.0539800718</v>
      </c>
      <c r="G135" s="5">
        <f>D151</f>
        <v>296573.21959994885</v>
      </c>
      <c r="H135" s="15"/>
      <c r="I135" s="15"/>
    </row>
    <row r="136" spans="1:11" x14ac:dyDescent="0.2">
      <c r="A136" s="12" t="s">
        <v>35</v>
      </c>
      <c r="B136" s="6"/>
      <c r="C136" s="149">
        <f>E147</f>
        <v>658826.64626637171</v>
      </c>
      <c r="D136" s="163">
        <f>E148</f>
        <v>797180.24198230985</v>
      </c>
      <c r="E136" s="163">
        <f>E149</f>
        <v>964588.09279859497</v>
      </c>
      <c r="F136" s="163">
        <f>E150</f>
        <v>1167151.5922862999</v>
      </c>
      <c r="G136" s="163">
        <f>E151</f>
        <v>1412253.4266664227</v>
      </c>
      <c r="H136" s="21"/>
      <c r="I136" s="15"/>
    </row>
    <row r="138" spans="1:11" x14ac:dyDescent="0.2">
      <c r="A138" t="s">
        <v>24</v>
      </c>
      <c r="B138" s="5">
        <v>5000000</v>
      </c>
    </row>
    <row r="139" spans="1:11" x14ac:dyDescent="0.2">
      <c r="A139" t="s">
        <v>25</v>
      </c>
      <c r="B139" s="2">
        <v>0.21</v>
      </c>
    </row>
    <row r="140" spans="1:11" x14ac:dyDescent="0.2">
      <c r="A140" t="s">
        <v>26</v>
      </c>
      <c r="B140">
        <v>5</v>
      </c>
    </row>
    <row r="141" spans="1:11" x14ac:dyDescent="0.2">
      <c r="A141" t="s">
        <v>29</v>
      </c>
      <c r="B141" s="329">
        <f>PMT(B139,5,-B138)</f>
        <v>1708826.6462663717</v>
      </c>
    </row>
    <row r="143" spans="1:11" ht="15.75" x14ac:dyDescent="0.25">
      <c r="B143" s="391" t="s">
        <v>27</v>
      </c>
      <c r="C143" s="391"/>
      <c r="D143" s="391"/>
      <c r="E143" s="391"/>
      <c r="F143" s="391"/>
    </row>
    <row r="144" spans="1:11" s="20" customFormat="1" ht="25.5" customHeight="1" x14ac:dyDescent="0.2">
      <c r="B144" s="389" t="s">
        <v>28</v>
      </c>
      <c r="C144" s="389" t="s">
        <v>30</v>
      </c>
      <c r="D144" s="162" t="s">
        <v>31</v>
      </c>
      <c r="E144" s="389" t="s">
        <v>32</v>
      </c>
      <c r="F144" s="389" t="s">
        <v>33</v>
      </c>
    </row>
    <row r="145" spans="1:18" s="20" customFormat="1" ht="12.75" x14ac:dyDescent="0.2">
      <c r="B145" s="390"/>
      <c r="C145" s="390"/>
      <c r="D145" s="161">
        <f>B139</f>
        <v>0.21</v>
      </c>
      <c r="E145" s="390"/>
      <c r="F145" s="390"/>
    </row>
    <row r="146" spans="1:18" x14ac:dyDescent="0.2">
      <c r="B146" s="15">
        <v>1</v>
      </c>
      <c r="C146" s="72"/>
      <c r="D146" s="72"/>
      <c r="E146" s="72"/>
      <c r="F146" s="72">
        <f>B138</f>
        <v>5000000</v>
      </c>
    </row>
    <row r="147" spans="1:18" x14ac:dyDescent="0.2">
      <c r="B147" s="15">
        <v>2</v>
      </c>
      <c r="C147" s="72">
        <f>$B$141</f>
        <v>1708826.6462663717</v>
      </c>
      <c r="D147" s="72">
        <f>F146*$D$145</f>
        <v>1050000</v>
      </c>
      <c r="E147" s="72">
        <f>C147-D147</f>
        <v>658826.64626637171</v>
      </c>
      <c r="F147" s="72">
        <f>F146-E147</f>
        <v>4341173.3537336281</v>
      </c>
    </row>
    <row r="148" spans="1:18" x14ac:dyDescent="0.2">
      <c r="B148" s="15">
        <v>3</v>
      </c>
      <c r="C148" s="72">
        <f t="shared" ref="C148:C151" si="18">$B$141</f>
        <v>1708826.6462663717</v>
      </c>
      <c r="D148" s="72">
        <f t="shared" ref="D148:D151" si="19">F147*$D$145</f>
        <v>911646.40428406186</v>
      </c>
      <c r="E148" s="72">
        <f t="shared" ref="E148:E151" si="20">C148-D148</f>
        <v>797180.24198230985</v>
      </c>
      <c r="F148" s="72">
        <f t="shared" ref="F148:F151" si="21">F147-E148</f>
        <v>3543993.111751318</v>
      </c>
    </row>
    <row r="149" spans="1:18" x14ac:dyDescent="0.2">
      <c r="B149" s="15">
        <v>4</v>
      </c>
      <c r="C149" s="72">
        <f t="shared" si="18"/>
        <v>1708826.6462663717</v>
      </c>
      <c r="D149" s="72">
        <f t="shared" si="19"/>
        <v>744238.55346777674</v>
      </c>
      <c r="E149" s="72">
        <f t="shared" si="20"/>
        <v>964588.09279859497</v>
      </c>
      <c r="F149" s="72">
        <f t="shared" si="21"/>
        <v>2579405.0189527231</v>
      </c>
    </row>
    <row r="150" spans="1:18" x14ac:dyDescent="0.2">
      <c r="B150" s="15">
        <v>5</v>
      </c>
      <c r="C150" s="72">
        <f t="shared" si="18"/>
        <v>1708826.6462663717</v>
      </c>
      <c r="D150" s="72">
        <f t="shared" si="19"/>
        <v>541675.0539800718</v>
      </c>
      <c r="E150" s="72">
        <f t="shared" si="20"/>
        <v>1167151.5922862999</v>
      </c>
      <c r="F150" s="72">
        <f t="shared" si="21"/>
        <v>1412253.4266664232</v>
      </c>
    </row>
    <row r="151" spans="1:18" x14ac:dyDescent="0.2">
      <c r="B151" s="6">
        <v>6</v>
      </c>
      <c r="C151" s="149">
        <f t="shared" si="18"/>
        <v>1708826.6462663717</v>
      </c>
      <c r="D151" s="149">
        <f t="shared" si="19"/>
        <v>296573.21959994885</v>
      </c>
      <c r="E151" s="149">
        <f t="shared" si="20"/>
        <v>1412253.4266664227</v>
      </c>
      <c r="F151" s="149">
        <f t="shared" si="21"/>
        <v>0</v>
      </c>
    </row>
    <row r="152" spans="1:18" x14ac:dyDescent="0.2">
      <c r="B152" s="15"/>
      <c r="C152" s="21"/>
      <c r="D152" s="15"/>
      <c r="E152" s="21"/>
      <c r="F152" s="21"/>
    </row>
    <row r="153" spans="1:18" x14ac:dyDescent="0.2">
      <c r="B153" s="15"/>
      <c r="C153" s="21"/>
      <c r="D153" s="15"/>
      <c r="E153" s="21"/>
      <c r="F153" s="21"/>
    </row>
    <row r="154" spans="1:18" ht="23.25" x14ac:dyDescent="0.35">
      <c r="A154" s="395" t="s">
        <v>344</v>
      </c>
      <c r="B154" s="395"/>
      <c r="C154" s="395"/>
      <c r="D154" s="395"/>
      <c r="E154" s="395"/>
      <c r="F154" s="395"/>
      <c r="G154" s="395"/>
      <c r="H154" s="395"/>
      <c r="I154" s="395"/>
      <c r="J154" s="395"/>
      <c r="K154" s="395"/>
      <c r="L154" s="395"/>
      <c r="M154" s="395"/>
      <c r="N154" s="395"/>
      <c r="O154" s="395"/>
      <c r="P154" s="395"/>
      <c r="Q154" s="395"/>
      <c r="R154" s="395"/>
    </row>
    <row r="155" spans="1:18" ht="18" x14ac:dyDescent="0.2">
      <c r="A155" s="398" t="s">
        <v>345</v>
      </c>
      <c r="B155" s="399"/>
      <c r="C155" s="398" t="s">
        <v>346</v>
      </c>
      <c r="D155" s="401" t="s">
        <v>347</v>
      </c>
      <c r="E155" s="401"/>
      <c r="F155" s="401"/>
      <c r="G155" s="396" t="s">
        <v>348</v>
      </c>
      <c r="H155" s="396"/>
      <c r="I155" s="396"/>
      <c r="J155" s="396" t="s">
        <v>349</v>
      </c>
      <c r="K155" s="396"/>
      <c r="L155" s="396"/>
      <c r="M155" s="396" t="s">
        <v>350</v>
      </c>
      <c r="N155" s="396"/>
      <c r="O155" s="396"/>
      <c r="P155" s="396" t="s">
        <v>351</v>
      </c>
      <c r="Q155" s="396"/>
      <c r="R155" s="396"/>
    </row>
    <row r="156" spans="1:18" ht="30" x14ac:dyDescent="0.2">
      <c r="A156" s="400"/>
      <c r="B156" s="400"/>
      <c r="C156" s="400"/>
      <c r="D156" s="164" t="s">
        <v>352</v>
      </c>
      <c r="E156" s="164" t="s">
        <v>353</v>
      </c>
      <c r="F156" s="164" t="s">
        <v>354</v>
      </c>
      <c r="G156" s="164" t="s">
        <v>352</v>
      </c>
      <c r="H156" s="164" t="s">
        <v>353</v>
      </c>
      <c r="I156" s="164" t="s">
        <v>354</v>
      </c>
      <c r="J156" s="164" t="s">
        <v>352</v>
      </c>
      <c r="K156" s="164" t="s">
        <v>353</v>
      </c>
      <c r="L156" s="164" t="s">
        <v>354</v>
      </c>
      <c r="M156" s="164" t="s">
        <v>352</v>
      </c>
      <c r="N156" s="164" t="s">
        <v>353</v>
      </c>
      <c r="O156" s="164" t="s">
        <v>354</v>
      </c>
      <c r="P156" s="164" t="s">
        <v>352</v>
      </c>
      <c r="Q156" s="164" t="s">
        <v>353</v>
      </c>
      <c r="R156" s="164" t="s">
        <v>354</v>
      </c>
    </row>
    <row r="157" spans="1:18" x14ac:dyDescent="0.2">
      <c r="A157" s="397" t="s">
        <v>355</v>
      </c>
      <c r="B157" s="397"/>
      <c r="C157" s="168"/>
      <c r="D157" s="169"/>
      <c r="E157" s="169"/>
      <c r="F157" s="169"/>
      <c r="G157" s="169"/>
      <c r="H157" s="170"/>
      <c r="I157" s="169"/>
      <c r="J157" s="169"/>
      <c r="K157" s="171"/>
      <c r="L157" s="169"/>
      <c r="M157" s="169"/>
      <c r="N157" s="171"/>
      <c r="O157" s="169"/>
      <c r="P157" s="169"/>
      <c r="Q157" s="172"/>
      <c r="R157" s="169"/>
    </row>
    <row r="158" spans="1:18" ht="16.5" x14ac:dyDescent="0.2">
      <c r="A158" s="381" t="s">
        <v>356</v>
      </c>
      <c r="B158" s="381"/>
      <c r="C158" s="173" t="s">
        <v>357</v>
      </c>
      <c r="D158" s="174">
        <v>153659</v>
      </c>
      <c r="E158" s="175">
        <v>0.35399999999999998</v>
      </c>
      <c r="F158" s="176">
        <f>D158*E158</f>
        <v>54395.286</v>
      </c>
      <c r="G158" s="174">
        <v>169161</v>
      </c>
      <c r="H158" s="177">
        <f>ROUND((E158*(1+$H$4)),3)</f>
        <v>0.35399999999999998</v>
      </c>
      <c r="I158" s="176">
        <f>G158*H158</f>
        <v>59882.993999999999</v>
      </c>
      <c r="J158" s="174">
        <v>185124</v>
      </c>
      <c r="K158" s="177">
        <f>ROUND((H158*(1+$K$4)),3)</f>
        <v>0.35399999999999998</v>
      </c>
      <c r="L158" s="176">
        <f>J158*K158</f>
        <v>65533.895999999993</v>
      </c>
      <c r="M158" s="174">
        <v>201561</v>
      </c>
      <c r="N158" s="178">
        <f>ROUND((K158*(1+$N$4)),3)</f>
        <v>0.35399999999999998</v>
      </c>
      <c r="O158" s="179">
        <f>M158*N158</f>
        <v>71352.593999999997</v>
      </c>
      <c r="P158" s="174">
        <v>218481</v>
      </c>
      <c r="Q158" s="180">
        <f>ROUND((N158*(1+$Q$4)),3)</f>
        <v>0.35399999999999998</v>
      </c>
      <c r="R158" s="176">
        <f>P158*Q158</f>
        <v>77342.27399999999</v>
      </c>
    </row>
    <row r="159" spans="1:18" x14ac:dyDescent="0.2">
      <c r="A159" s="381" t="s">
        <v>358</v>
      </c>
      <c r="B159" s="381"/>
      <c r="C159" s="181" t="s">
        <v>359</v>
      </c>
      <c r="D159" s="182">
        <v>106.4</v>
      </c>
      <c r="E159" s="183">
        <v>4500</v>
      </c>
      <c r="F159" s="176">
        <f t="shared" ref="F159:F164" si="22">D159*E159</f>
        <v>478800</v>
      </c>
      <c r="G159" s="182">
        <v>117.2</v>
      </c>
      <c r="H159" s="176">
        <f t="shared" ref="H159:H164" si="23">ROUND((E159*(1+$H$4)),0)</f>
        <v>4500</v>
      </c>
      <c r="I159" s="176">
        <f t="shared" ref="I159:I164" si="24">G159*H159</f>
        <v>527400</v>
      </c>
      <c r="J159" s="182">
        <v>128.19999999999999</v>
      </c>
      <c r="K159" s="176">
        <f t="shared" ref="K159:K164" si="25">ROUND((H159*(1+$K$4)),0)</f>
        <v>4500</v>
      </c>
      <c r="L159" s="176">
        <f t="shared" ref="L159:L164" si="26">J159*K159</f>
        <v>576900</v>
      </c>
      <c r="M159" s="182">
        <v>139.6</v>
      </c>
      <c r="N159" s="176">
        <f t="shared" ref="N159:N164" si="27">ROUND((K159*(1+$N$4)),0)</f>
        <v>4500</v>
      </c>
      <c r="O159" s="179">
        <f t="shared" ref="O159:O164" si="28">M159*N159</f>
        <v>628200</v>
      </c>
      <c r="P159" s="182">
        <v>151.30000000000001</v>
      </c>
      <c r="Q159" s="179">
        <f t="shared" ref="Q159:Q164" si="29">ROUND((N159*(1+$Q$4)),0)</f>
        <v>4500</v>
      </c>
      <c r="R159" s="176">
        <f t="shared" ref="R159:R164" si="30">P159*Q159</f>
        <v>680850</v>
      </c>
    </row>
    <row r="160" spans="1:18" x14ac:dyDescent="0.2">
      <c r="A160" s="381" t="s">
        <v>360</v>
      </c>
      <c r="B160" s="381"/>
      <c r="C160" s="181" t="s">
        <v>359</v>
      </c>
      <c r="D160" s="182">
        <v>136.1</v>
      </c>
      <c r="E160" s="183">
        <v>7500</v>
      </c>
      <c r="F160" s="176">
        <f t="shared" si="22"/>
        <v>1020750</v>
      </c>
      <c r="G160" s="182">
        <v>149.9</v>
      </c>
      <c r="H160" s="176">
        <f t="shared" si="23"/>
        <v>7500</v>
      </c>
      <c r="I160" s="176">
        <f t="shared" si="24"/>
        <v>1124250</v>
      </c>
      <c r="J160" s="182">
        <v>164</v>
      </c>
      <c r="K160" s="176">
        <f t="shared" si="25"/>
        <v>7500</v>
      </c>
      <c r="L160" s="176">
        <f t="shared" si="26"/>
        <v>1230000</v>
      </c>
      <c r="M160" s="182">
        <v>178.6</v>
      </c>
      <c r="N160" s="176">
        <f t="shared" si="27"/>
        <v>7500</v>
      </c>
      <c r="O160" s="179">
        <f t="shared" si="28"/>
        <v>1339500</v>
      </c>
      <c r="P160" s="182">
        <v>193.6</v>
      </c>
      <c r="Q160" s="179">
        <f t="shared" si="29"/>
        <v>7500</v>
      </c>
      <c r="R160" s="176">
        <f t="shared" si="30"/>
        <v>1452000</v>
      </c>
    </row>
    <row r="161" spans="1:18" x14ac:dyDescent="0.2">
      <c r="A161" s="381" t="s">
        <v>361</v>
      </c>
      <c r="B161" s="381"/>
      <c r="C161" s="181" t="s">
        <v>359</v>
      </c>
      <c r="D161" s="182">
        <v>41.1</v>
      </c>
      <c r="E161" s="183">
        <v>7500</v>
      </c>
      <c r="F161" s="176">
        <f t="shared" si="22"/>
        <v>308250</v>
      </c>
      <c r="G161" s="182">
        <v>45.3</v>
      </c>
      <c r="H161" s="176">
        <f t="shared" si="23"/>
        <v>7500</v>
      </c>
      <c r="I161" s="176">
        <f t="shared" si="24"/>
        <v>339750</v>
      </c>
      <c r="J161" s="182">
        <v>49.5</v>
      </c>
      <c r="K161" s="176">
        <f t="shared" si="25"/>
        <v>7500</v>
      </c>
      <c r="L161" s="176">
        <f t="shared" si="26"/>
        <v>371250</v>
      </c>
      <c r="M161" s="182">
        <v>53.9</v>
      </c>
      <c r="N161" s="176">
        <f t="shared" si="27"/>
        <v>7500</v>
      </c>
      <c r="O161" s="179">
        <f t="shared" si="28"/>
        <v>404250</v>
      </c>
      <c r="P161" s="182">
        <v>58.4</v>
      </c>
      <c r="Q161" s="179">
        <f t="shared" si="29"/>
        <v>7500</v>
      </c>
      <c r="R161" s="176">
        <f t="shared" si="30"/>
        <v>438000</v>
      </c>
    </row>
    <row r="162" spans="1:18" x14ac:dyDescent="0.2">
      <c r="A162" s="381" t="s">
        <v>362</v>
      </c>
      <c r="B162" s="381"/>
      <c r="C162" s="181" t="s">
        <v>359</v>
      </c>
      <c r="D162" s="182">
        <v>4234.8999999999996</v>
      </c>
      <c r="E162" s="183">
        <v>3000</v>
      </c>
      <c r="F162" s="176">
        <f t="shared" si="22"/>
        <v>12704699.999999998</v>
      </c>
      <c r="G162" s="182">
        <v>4662.1000000000004</v>
      </c>
      <c r="H162" s="176">
        <f t="shared" si="23"/>
        <v>3000</v>
      </c>
      <c r="I162" s="176">
        <f t="shared" si="24"/>
        <v>13986300.000000002</v>
      </c>
      <c r="J162" s="182">
        <v>5102.1000000000004</v>
      </c>
      <c r="K162" s="176">
        <f t="shared" si="25"/>
        <v>3000</v>
      </c>
      <c r="L162" s="176">
        <f t="shared" si="26"/>
        <v>15306300.000000002</v>
      </c>
      <c r="M162" s="182">
        <v>5555.1</v>
      </c>
      <c r="N162" s="176">
        <f t="shared" si="27"/>
        <v>3000</v>
      </c>
      <c r="O162" s="179">
        <f t="shared" si="28"/>
        <v>16665300.000000002</v>
      </c>
      <c r="P162" s="182">
        <v>6021.4</v>
      </c>
      <c r="Q162" s="179">
        <f t="shared" si="29"/>
        <v>3000</v>
      </c>
      <c r="R162" s="176">
        <f t="shared" si="30"/>
        <v>18064200</v>
      </c>
    </row>
    <row r="163" spans="1:18" x14ac:dyDescent="0.2">
      <c r="A163" s="381" t="s">
        <v>363</v>
      </c>
      <c r="B163" s="381"/>
      <c r="C163" s="181" t="s">
        <v>359</v>
      </c>
      <c r="D163" s="182">
        <v>4234.8999999999996</v>
      </c>
      <c r="E163" s="183">
        <v>4500</v>
      </c>
      <c r="F163" s="176">
        <f t="shared" si="22"/>
        <v>19057050</v>
      </c>
      <c r="G163" s="182">
        <v>4662.1000000000004</v>
      </c>
      <c r="H163" s="176">
        <f t="shared" si="23"/>
        <v>4500</v>
      </c>
      <c r="I163" s="176">
        <f t="shared" si="24"/>
        <v>20979450</v>
      </c>
      <c r="J163" s="182">
        <v>5102.1000000000004</v>
      </c>
      <c r="K163" s="176">
        <f t="shared" si="25"/>
        <v>4500</v>
      </c>
      <c r="L163" s="176">
        <f t="shared" si="26"/>
        <v>22959450</v>
      </c>
      <c r="M163" s="182">
        <v>5555.1</v>
      </c>
      <c r="N163" s="176">
        <f t="shared" si="27"/>
        <v>4500</v>
      </c>
      <c r="O163" s="179">
        <f t="shared" si="28"/>
        <v>24997950</v>
      </c>
      <c r="P163" s="182">
        <v>6021.4</v>
      </c>
      <c r="Q163" s="179">
        <f t="shared" si="29"/>
        <v>4500</v>
      </c>
      <c r="R163" s="176">
        <f t="shared" si="30"/>
        <v>27096300</v>
      </c>
    </row>
    <row r="164" spans="1:18" x14ac:dyDescent="0.2">
      <c r="A164" s="381" t="s">
        <v>364</v>
      </c>
      <c r="B164" s="381"/>
      <c r="C164" s="181" t="s">
        <v>359</v>
      </c>
      <c r="D164" s="182">
        <v>50.8</v>
      </c>
      <c r="E164" s="183">
        <v>4800</v>
      </c>
      <c r="F164" s="176">
        <f t="shared" si="22"/>
        <v>243840</v>
      </c>
      <c r="G164" s="182">
        <v>55.9</v>
      </c>
      <c r="H164" s="176">
        <f t="shared" si="23"/>
        <v>4800</v>
      </c>
      <c r="I164" s="176">
        <f t="shared" si="24"/>
        <v>268320</v>
      </c>
      <c r="J164" s="182">
        <v>61.1</v>
      </c>
      <c r="K164" s="176">
        <f t="shared" si="25"/>
        <v>4800</v>
      </c>
      <c r="L164" s="176">
        <f t="shared" si="26"/>
        <v>293280</v>
      </c>
      <c r="M164" s="182">
        <v>66.599999999999994</v>
      </c>
      <c r="N164" s="176">
        <f t="shared" si="27"/>
        <v>4800</v>
      </c>
      <c r="O164" s="179">
        <f t="shared" si="28"/>
        <v>319680</v>
      </c>
      <c r="P164" s="182">
        <v>72.099999999999994</v>
      </c>
      <c r="Q164" s="179">
        <f t="shared" si="29"/>
        <v>4800</v>
      </c>
      <c r="R164" s="176">
        <f t="shared" si="30"/>
        <v>346080</v>
      </c>
    </row>
    <row r="165" spans="1:18" ht="15.75" x14ac:dyDescent="0.25">
      <c r="A165" s="377" t="s">
        <v>365</v>
      </c>
      <c r="B165" s="378"/>
      <c r="C165" s="184"/>
      <c r="D165" s="185"/>
      <c r="E165" s="186"/>
      <c r="F165" s="187">
        <f>SUM(F158:F164)</f>
        <v>33867785.285999998</v>
      </c>
      <c r="G165" s="185"/>
      <c r="H165" s="187"/>
      <c r="I165" s="187">
        <f>SUM(I158:I164)</f>
        <v>37285352.994000003</v>
      </c>
      <c r="J165" s="185"/>
      <c r="K165" s="188"/>
      <c r="L165" s="187">
        <f>SUM(L158:L164)</f>
        <v>40802713.895999998</v>
      </c>
      <c r="M165" s="185"/>
      <c r="N165" s="188"/>
      <c r="O165" s="187">
        <f>SUM(O158:O164)</f>
        <v>44426232.593999997</v>
      </c>
      <c r="P165" s="185"/>
      <c r="Q165" s="188"/>
      <c r="R165" s="187">
        <f>SUM(R158:R164)</f>
        <v>48154772.274000004</v>
      </c>
    </row>
    <row r="166" spans="1:18" ht="15.75" x14ac:dyDescent="0.25">
      <c r="A166" s="384" t="s">
        <v>366</v>
      </c>
      <c r="B166" s="384"/>
      <c r="C166" s="181"/>
      <c r="D166" s="182"/>
      <c r="E166" s="183"/>
      <c r="F166" s="176"/>
      <c r="G166" s="182"/>
      <c r="H166" s="176"/>
      <c r="I166" s="176"/>
      <c r="J166" s="182"/>
      <c r="K166" s="189"/>
      <c r="L166" s="176"/>
      <c r="M166" s="182"/>
      <c r="N166" s="189"/>
      <c r="O166" s="189"/>
      <c r="P166" s="182"/>
      <c r="Q166" s="189"/>
      <c r="R166" s="189"/>
    </row>
    <row r="167" spans="1:18" x14ac:dyDescent="0.2">
      <c r="A167" s="381" t="s">
        <v>367</v>
      </c>
      <c r="B167" s="381"/>
      <c r="C167" s="181" t="s">
        <v>359</v>
      </c>
      <c r="D167" s="190">
        <v>7.7</v>
      </c>
      <c r="E167" s="183">
        <v>31000</v>
      </c>
      <c r="F167" s="176">
        <f t="shared" ref="F167:F172" si="31">D167*E167</f>
        <v>238700</v>
      </c>
      <c r="G167" s="182">
        <v>8.5</v>
      </c>
      <c r="H167" s="176">
        <f t="shared" ref="H167:H172" si="32">ROUND((E167*(1+$H$4)),0)</f>
        <v>31000</v>
      </c>
      <c r="I167" s="176">
        <f t="shared" ref="I167:I172" si="33">G167*H167</f>
        <v>263500</v>
      </c>
      <c r="J167" s="182">
        <v>9.3000000000000007</v>
      </c>
      <c r="K167" s="176">
        <f t="shared" ref="K167:K172" si="34">ROUND((H167*(1+$K$4)),0)</f>
        <v>31000</v>
      </c>
      <c r="L167" s="176">
        <f t="shared" ref="L167:L172" si="35">J167*K167</f>
        <v>288300</v>
      </c>
      <c r="M167" s="182">
        <v>10.1</v>
      </c>
      <c r="N167" s="176">
        <f t="shared" ref="N167:N172" si="36">ROUND((K167*(1+$N$4)),0)</f>
        <v>31000</v>
      </c>
      <c r="O167" s="179">
        <f t="shared" ref="O167:O172" si="37">M167*N167</f>
        <v>313100</v>
      </c>
      <c r="P167" s="182">
        <v>11</v>
      </c>
      <c r="Q167" s="179">
        <f t="shared" ref="Q167:Q172" si="38">ROUND((N167*(1+$Q$4)),0)</f>
        <v>31000</v>
      </c>
      <c r="R167" s="176">
        <f t="shared" ref="R167:R172" si="39">P167*Q167</f>
        <v>341000</v>
      </c>
    </row>
    <row r="168" spans="1:18" x14ac:dyDescent="0.2">
      <c r="A168" s="376" t="s">
        <v>368</v>
      </c>
      <c r="B168" s="376"/>
      <c r="C168" s="181" t="s">
        <v>359</v>
      </c>
      <c r="D168" s="190">
        <v>7.7</v>
      </c>
      <c r="E168" s="183">
        <v>37000</v>
      </c>
      <c r="F168" s="176">
        <f t="shared" si="31"/>
        <v>284900</v>
      </c>
      <c r="G168" s="182">
        <v>8.5</v>
      </c>
      <c r="H168" s="176">
        <f t="shared" si="32"/>
        <v>37000</v>
      </c>
      <c r="I168" s="176">
        <f t="shared" si="33"/>
        <v>314500</v>
      </c>
      <c r="J168" s="182">
        <v>9.3000000000000007</v>
      </c>
      <c r="K168" s="176">
        <f t="shared" si="34"/>
        <v>37000</v>
      </c>
      <c r="L168" s="176">
        <f t="shared" si="35"/>
        <v>344100</v>
      </c>
      <c r="M168" s="182">
        <v>10.1</v>
      </c>
      <c r="N168" s="176">
        <f t="shared" si="36"/>
        <v>37000</v>
      </c>
      <c r="O168" s="179">
        <f t="shared" si="37"/>
        <v>373700</v>
      </c>
      <c r="P168" s="182">
        <v>11</v>
      </c>
      <c r="Q168" s="179">
        <f t="shared" si="38"/>
        <v>37000</v>
      </c>
      <c r="R168" s="176">
        <f t="shared" si="39"/>
        <v>407000</v>
      </c>
    </row>
    <row r="169" spans="1:18" x14ac:dyDescent="0.2">
      <c r="A169" s="376" t="s">
        <v>369</v>
      </c>
      <c r="B169" s="376"/>
      <c r="C169" s="181" t="s">
        <v>359</v>
      </c>
      <c r="D169" s="190">
        <v>7.7</v>
      </c>
      <c r="E169" s="183">
        <v>31000</v>
      </c>
      <c r="F169" s="176">
        <f t="shared" si="31"/>
        <v>238700</v>
      </c>
      <c r="G169" s="182">
        <v>8.5</v>
      </c>
      <c r="H169" s="176">
        <f t="shared" si="32"/>
        <v>31000</v>
      </c>
      <c r="I169" s="176">
        <f t="shared" si="33"/>
        <v>263500</v>
      </c>
      <c r="J169" s="182">
        <v>9.3000000000000007</v>
      </c>
      <c r="K169" s="176">
        <f t="shared" si="34"/>
        <v>31000</v>
      </c>
      <c r="L169" s="176">
        <f t="shared" si="35"/>
        <v>288300</v>
      </c>
      <c r="M169" s="182">
        <v>10.1</v>
      </c>
      <c r="N169" s="176">
        <f t="shared" si="36"/>
        <v>31000</v>
      </c>
      <c r="O169" s="179">
        <f t="shared" si="37"/>
        <v>313100</v>
      </c>
      <c r="P169" s="182">
        <v>11</v>
      </c>
      <c r="Q169" s="179">
        <f t="shared" si="38"/>
        <v>31000</v>
      </c>
      <c r="R169" s="176">
        <f t="shared" si="39"/>
        <v>341000</v>
      </c>
    </row>
    <row r="170" spans="1:18" x14ac:dyDescent="0.2">
      <c r="A170" s="376" t="s">
        <v>370</v>
      </c>
      <c r="B170" s="376"/>
      <c r="C170" s="181" t="s">
        <v>359</v>
      </c>
      <c r="D170" s="190">
        <v>7.7</v>
      </c>
      <c r="E170" s="183">
        <v>25600</v>
      </c>
      <c r="F170" s="176">
        <f t="shared" si="31"/>
        <v>197120</v>
      </c>
      <c r="G170" s="182">
        <v>8.5</v>
      </c>
      <c r="H170" s="176">
        <f t="shared" si="32"/>
        <v>25600</v>
      </c>
      <c r="I170" s="176">
        <f t="shared" si="33"/>
        <v>217600</v>
      </c>
      <c r="J170" s="182">
        <v>9.3000000000000007</v>
      </c>
      <c r="K170" s="176">
        <f t="shared" si="34"/>
        <v>25600</v>
      </c>
      <c r="L170" s="176">
        <f t="shared" si="35"/>
        <v>238080.00000000003</v>
      </c>
      <c r="M170" s="182">
        <v>10.1</v>
      </c>
      <c r="N170" s="176">
        <f t="shared" si="36"/>
        <v>25600</v>
      </c>
      <c r="O170" s="179">
        <f t="shared" si="37"/>
        <v>258560</v>
      </c>
      <c r="P170" s="182">
        <v>11</v>
      </c>
      <c r="Q170" s="179">
        <f t="shared" si="38"/>
        <v>25600</v>
      </c>
      <c r="R170" s="176">
        <f t="shared" si="39"/>
        <v>281600</v>
      </c>
    </row>
    <row r="171" spans="1:18" x14ac:dyDescent="0.2">
      <c r="A171" s="376" t="s">
        <v>371</v>
      </c>
      <c r="B171" s="376"/>
      <c r="C171" s="181" t="s">
        <v>359</v>
      </c>
      <c r="D171" s="190">
        <v>7.7</v>
      </c>
      <c r="E171" s="183">
        <v>20400</v>
      </c>
      <c r="F171" s="176">
        <f t="shared" si="31"/>
        <v>157080</v>
      </c>
      <c r="G171" s="182">
        <v>8.5</v>
      </c>
      <c r="H171" s="176">
        <f t="shared" si="32"/>
        <v>20400</v>
      </c>
      <c r="I171" s="176">
        <f t="shared" si="33"/>
        <v>173400</v>
      </c>
      <c r="J171" s="182">
        <v>9.3000000000000007</v>
      </c>
      <c r="K171" s="176">
        <f t="shared" si="34"/>
        <v>20400</v>
      </c>
      <c r="L171" s="176">
        <f t="shared" si="35"/>
        <v>189720</v>
      </c>
      <c r="M171" s="182">
        <v>10.1</v>
      </c>
      <c r="N171" s="176">
        <f t="shared" si="36"/>
        <v>20400</v>
      </c>
      <c r="O171" s="179">
        <f t="shared" si="37"/>
        <v>206040</v>
      </c>
      <c r="P171" s="182">
        <v>11</v>
      </c>
      <c r="Q171" s="179">
        <f t="shared" si="38"/>
        <v>20400</v>
      </c>
      <c r="R171" s="176">
        <f t="shared" si="39"/>
        <v>224400</v>
      </c>
    </row>
    <row r="172" spans="1:18" x14ac:dyDescent="0.2">
      <c r="A172" s="376" t="s">
        <v>372</v>
      </c>
      <c r="B172" s="376"/>
      <c r="C172" s="181" t="s">
        <v>359</v>
      </c>
      <c r="D172" s="190">
        <v>7.7</v>
      </c>
      <c r="E172" s="183">
        <v>40000</v>
      </c>
      <c r="F172" s="176">
        <f t="shared" si="31"/>
        <v>308000</v>
      </c>
      <c r="G172" s="182">
        <v>8.5</v>
      </c>
      <c r="H172" s="176">
        <f t="shared" si="32"/>
        <v>40000</v>
      </c>
      <c r="I172" s="176">
        <f t="shared" si="33"/>
        <v>340000</v>
      </c>
      <c r="J172" s="182">
        <v>9.3000000000000007</v>
      </c>
      <c r="K172" s="176">
        <f t="shared" si="34"/>
        <v>40000</v>
      </c>
      <c r="L172" s="176">
        <f t="shared" si="35"/>
        <v>372000</v>
      </c>
      <c r="M172" s="182">
        <v>10.1</v>
      </c>
      <c r="N172" s="176">
        <f t="shared" si="36"/>
        <v>40000</v>
      </c>
      <c r="O172" s="179">
        <f t="shared" si="37"/>
        <v>404000</v>
      </c>
      <c r="P172" s="182">
        <v>11</v>
      </c>
      <c r="Q172" s="179">
        <f t="shared" si="38"/>
        <v>40000</v>
      </c>
      <c r="R172" s="176">
        <f t="shared" si="39"/>
        <v>440000</v>
      </c>
    </row>
    <row r="173" spans="1:18" ht="15.75" x14ac:dyDescent="0.25">
      <c r="A173" s="377" t="s">
        <v>373</v>
      </c>
      <c r="B173" s="378"/>
      <c r="C173" s="184"/>
      <c r="D173" s="185"/>
      <c r="E173" s="186"/>
      <c r="F173" s="187">
        <f>SUM(F167:F172)</f>
        <v>1424500</v>
      </c>
      <c r="G173" s="185"/>
      <c r="H173" s="187"/>
      <c r="I173" s="187">
        <f>SUM(I167:I172)</f>
        <v>1572500</v>
      </c>
      <c r="J173" s="185"/>
      <c r="K173" s="188"/>
      <c r="L173" s="187">
        <f>SUM(L167:L172)</f>
        <v>1720500</v>
      </c>
      <c r="M173" s="185"/>
      <c r="N173" s="188"/>
      <c r="O173" s="187">
        <f>SUM(O167:O172)</f>
        <v>1868500</v>
      </c>
      <c r="P173" s="185"/>
      <c r="Q173" s="188"/>
      <c r="R173" s="187">
        <f>SUM(R167:R172)</f>
        <v>2035000</v>
      </c>
    </row>
    <row r="174" spans="1:18" ht="15.75" x14ac:dyDescent="0.25">
      <c r="A174" s="382" t="s">
        <v>374</v>
      </c>
      <c r="B174" s="383"/>
      <c r="C174" s="191"/>
      <c r="D174" s="192"/>
      <c r="E174" s="193"/>
      <c r="F174" s="194"/>
      <c r="G174" s="192"/>
      <c r="H174" s="194"/>
      <c r="I174" s="194"/>
      <c r="J174" s="192"/>
      <c r="K174" s="195"/>
      <c r="L174" s="194"/>
      <c r="M174" s="192"/>
      <c r="N174" s="195"/>
      <c r="O174" s="194"/>
      <c r="P174" s="192"/>
      <c r="Q174" s="195"/>
      <c r="R174" s="194"/>
    </row>
    <row r="175" spans="1:18" x14ac:dyDescent="0.2">
      <c r="A175" s="376" t="s">
        <v>375</v>
      </c>
      <c r="B175" s="376"/>
      <c r="C175" s="181" t="s">
        <v>359</v>
      </c>
      <c r="D175" s="190">
        <v>12.8</v>
      </c>
      <c r="E175" s="183">
        <v>30000</v>
      </c>
      <c r="F175" s="176">
        <f t="shared" ref="F175:F191" si="40">D175*E175</f>
        <v>384000</v>
      </c>
      <c r="G175" s="182">
        <v>14.1</v>
      </c>
      <c r="H175" s="176">
        <f t="shared" ref="H175:H191" si="41">ROUND((E175*(1+$H$4)),0)</f>
        <v>30000</v>
      </c>
      <c r="I175" s="176">
        <f t="shared" ref="I175:I191" si="42">G175*H175</f>
        <v>423000</v>
      </c>
      <c r="J175" s="182">
        <v>15.5</v>
      </c>
      <c r="K175" s="176">
        <f t="shared" ref="K175:K191" si="43">ROUND((H175*(1+$K$4)),0)</f>
        <v>30000</v>
      </c>
      <c r="L175" s="176">
        <f t="shared" ref="L175:L191" si="44">J175*K175</f>
        <v>465000</v>
      </c>
      <c r="M175" s="182">
        <v>16.8</v>
      </c>
      <c r="N175" s="176">
        <f t="shared" ref="N175:N191" si="45">ROUND((K175*(1+$N$4)),0)</f>
        <v>30000</v>
      </c>
      <c r="O175" s="179">
        <f t="shared" ref="O175:O191" si="46">M175*N175</f>
        <v>504000</v>
      </c>
      <c r="P175" s="182">
        <v>18.2</v>
      </c>
      <c r="Q175" s="179">
        <f t="shared" ref="Q175:Q191" si="47">ROUND((N175*(1+$Q$4)),0)</f>
        <v>30000</v>
      </c>
      <c r="R175" s="176">
        <f t="shared" ref="R175:R191" si="48">P175*Q175</f>
        <v>546000</v>
      </c>
    </row>
    <row r="176" spans="1:18" x14ac:dyDescent="0.2">
      <c r="A176" s="376" t="s">
        <v>376</v>
      </c>
      <c r="B176" s="376"/>
      <c r="C176" s="181" t="s">
        <v>359</v>
      </c>
      <c r="D176" s="190">
        <v>12.8</v>
      </c>
      <c r="E176" s="183">
        <v>26000</v>
      </c>
      <c r="F176" s="176">
        <f t="shared" si="40"/>
        <v>332800</v>
      </c>
      <c r="G176" s="182">
        <v>14.1</v>
      </c>
      <c r="H176" s="176">
        <f t="shared" si="41"/>
        <v>26000</v>
      </c>
      <c r="I176" s="176">
        <f t="shared" si="42"/>
        <v>366600</v>
      </c>
      <c r="J176" s="182">
        <v>15.5</v>
      </c>
      <c r="K176" s="176">
        <f t="shared" si="43"/>
        <v>26000</v>
      </c>
      <c r="L176" s="176">
        <f t="shared" si="44"/>
        <v>403000</v>
      </c>
      <c r="M176" s="182">
        <v>16.8</v>
      </c>
      <c r="N176" s="176">
        <f t="shared" si="45"/>
        <v>26000</v>
      </c>
      <c r="O176" s="179">
        <f t="shared" si="46"/>
        <v>436800</v>
      </c>
      <c r="P176" s="182">
        <v>18.2</v>
      </c>
      <c r="Q176" s="179">
        <f t="shared" si="47"/>
        <v>26000</v>
      </c>
      <c r="R176" s="176">
        <f t="shared" si="48"/>
        <v>473200</v>
      </c>
    </row>
    <row r="177" spans="1:18" x14ac:dyDescent="0.2">
      <c r="A177" s="376" t="s">
        <v>377</v>
      </c>
      <c r="B177" s="376"/>
      <c r="C177" s="181" t="s">
        <v>359</v>
      </c>
      <c r="D177" s="190">
        <v>12.8</v>
      </c>
      <c r="E177" s="183">
        <v>25000</v>
      </c>
      <c r="F177" s="176">
        <f t="shared" si="40"/>
        <v>320000</v>
      </c>
      <c r="G177" s="182">
        <v>14.1</v>
      </c>
      <c r="H177" s="176">
        <f t="shared" si="41"/>
        <v>25000</v>
      </c>
      <c r="I177" s="176">
        <f t="shared" si="42"/>
        <v>352500</v>
      </c>
      <c r="J177" s="182">
        <v>15.5</v>
      </c>
      <c r="K177" s="176">
        <f t="shared" si="43"/>
        <v>25000</v>
      </c>
      <c r="L177" s="176">
        <f t="shared" si="44"/>
        <v>387500</v>
      </c>
      <c r="M177" s="182">
        <v>16.8</v>
      </c>
      <c r="N177" s="176">
        <f t="shared" si="45"/>
        <v>25000</v>
      </c>
      <c r="O177" s="179">
        <f t="shared" si="46"/>
        <v>420000</v>
      </c>
      <c r="P177" s="182">
        <v>18.2</v>
      </c>
      <c r="Q177" s="179">
        <f t="shared" si="47"/>
        <v>25000</v>
      </c>
      <c r="R177" s="176">
        <f t="shared" si="48"/>
        <v>455000</v>
      </c>
    </row>
    <row r="178" spans="1:18" x14ac:dyDescent="0.2">
      <c r="A178" s="376" t="s">
        <v>378</v>
      </c>
      <c r="B178" s="376"/>
      <c r="C178" s="181" t="s">
        <v>359</v>
      </c>
      <c r="D178" s="190">
        <v>12.8</v>
      </c>
      <c r="E178" s="183">
        <v>27500</v>
      </c>
      <c r="F178" s="176">
        <f t="shared" si="40"/>
        <v>352000</v>
      </c>
      <c r="G178" s="182">
        <v>14.1</v>
      </c>
      <c r="H178" s="176">
        <f t="shared" si="41"/>
        <v>27500</v>
      </c>
      <c r="I178" s="176">
        <f t="shared" si="42"/>
        <v>387750</v>
      </c>
      <c r="J178" s="182">
        <v>15.5</v>
      </c>
      <c r="K178" s="176">
        <f t="shared" si="43"/>
        <v>27500</v>
      </c>
      <c r="L178" s="176">
        <f t="shared" si="44"/>
        <v>426250</v>
      </c>
      <c r="M178" s="182">
        <v>16.8</v>
      </c>
      <c r="N178" s="176">
        <f t="shared" si="45"/>
        <v>27500</v>
      </c>
      <c r="O178" s="179">
        <f t="shared" si="46"/>
        <v>462000</v>
      </c>
      <c r="P178" s="182">
        <v>18.2</v>
      </c>
      <c r="Q178" s="179">
        <f t="shared" si="47"/>
        <v>27500</v>
      </c>
      <c r="R178" s="176">
        <f t="shared" si="48"/>
        <v>500500</v>
      </c>
    </row>
    <row r="179" spans="1:18" x14ac:dyDescent="0.2">
      <c r="A179" s="376" t="s">
        <v>379</v>
      </c>
      <c r="B179" s="376"/>
      <c r="C179" s="181" t="s">
        <v>359</v>
      </c>
      <c r="D179" s="190">
        <v>12.8</v>
      </c>
      <c r="E179" s="183">
        <v>27000</v>
      </c>
      <c r="F179" s="176">
        <f t="shared" si="40"/>
        <v>345600</v>
      </c>
      <c r="G179" s="182">
        <v>14.1</v>
      </c>
      <c r="H179" s="176">
        <f t="shared" si="41"/>
        <v>27000</v>
      </c>
      <c r="I179" s="176">
        <f t="shared" si="42"/>
        <v>380700</v>
      </c>
      <c r="J179" s="182">
        <v>15.5</v>
      </c>
      <c r="K179" s="176">
        <f t="shared" si="43"/>
        <v>27000</v>
      </c>
      <c r="L179" s="176">
        <f t="shared" si="44"/>
        <v>418500</v>
      </c>
      <c r="M179" s="182">
        <v>16.8</v>
      </c>
      <c r="N179" s="176">
        <f t="shared" si="45"/>
        <v>27000</v>
      </c>
      <c r="O179" s="179">
        <f t="shared" si="46"/>
        <v>453600</v>
      </c>
      <c r="P179" s="182">
        <v>18.2</v>
      </c>
      <c r="Q179" s="179">
        <f t="shared" si="47"/>
        <v>27000</v>
      </c>
      <c r="R179" s="176">
        <f t="shared" si="48"/>
        <v>491400</v>
      </c>
    </row>
    <row r="180" spans="1:18" x14ac:dyDescent="0.2">
      <c r="A180" s="376" t="s">
        <v>380</v>
      </c>
      <c r="B180" s="376"/>
      <c r="C180" s="181" t="s">
        <v>359</v>
      </c>
      <c r="D180" s="190">
        <v>12.8</v>
      </c>
      <c r="E180" s="183">
        <v>22000</v>
      </c>
      <c r="F180" s="176">
        <f t="shared" si="40"/>
        <v>281600</v>
      </c>
      <c r="G180" s="182">
        <v>14.1</v>
      </c>
      <c r="H180" s="176">
        <f t="shared" si="41"/>
        <v>22000</v>
      </c>
      <c r="I180" s="176">
        <f t="shared" si="42"/>
        <v>310200</v>
      </c>
      <c r="J180" s="182">
        <v>15.5</v>
      </c>
      <c r="K180" s="176">
        <f t="shared" si="43"/>
        <v>22000</v>
      </c>
      <c r="L180" s="176">
        <f t="shared" si="44"/>
        <v>341000</v>
      </c>
      <c r="M180" s="182">
        <v>16.8</v>
      </c>
      <c r="N180" s="176">
        <f t="shared" si="45"/>
        <v>22000</v>
      </c>
      <c r="O180" s="179">
        <f t="shared" si="46"/>
        <v>369600</v>
      </c>
      <c r="P180" s="182">
        <v>18.2</v>
      </c>
      <c r="Q180" s="179">
        <f t="shared" si="47"/>
        <v>22000</v>
      </c>
      <c r="R180" s="176">
        <f t="shared" si="48"/>
        <v>400400</v>
      </c>
    </row>
    <row r="181" spans="1:18" ht="15.75" x14ac:dyDescent="0.25">
      <c r="A181" s="377" t="s">
        <v>381</v>
      </c>
      <c r="B181" s="378"/>
      <c r="C181" s="184"/>
      <c r="D181" s="185"/>
      <c r="E181" s="186"/>
      <c r="F181" s="187">
        <f>SUM(F175:F180)</f>
        <v>2016000</v>
      </c>
      <c r="G181" s="185"/>
      <c r="H181" s="187"/>
      <c r="I181" s="187">
        <f>SUM(I175:I180)</f>
        <v>2220750</v>
      </c>
      <c r="J181" s="185"/>
      <c r="K181" s="188"/>
      <c r="L181" s="187">
        <f>SUM(L175:L180)</f>
        <v>2441250</v>
      </c>
      <c r="M181" s="185"/>
      <c r="N181" s="188"/>
      <c r="O181" s="187">
        <f>SUM(O175:O180)</f>
        <v>2646000</v>
      </c>
      <c r="P181" s="185"/>
      <c r="Q181" s="188"/>
      <c r="R181" s="187">
        <f>SUM(R175:R180)</f>
        <v>2866500</v>
      </c>
    </row>
    <row r="182" spans="1:18" ht="15.75" x14ac:dyDescent="0.25">
      <c r="A182" s="196" t="s">
        <v>382</v>
      </c>
      <c r="B182" s="197"/>
      <c r="C182" s="198"/>
      <c r="D182" s="199"/>
      <c r="E182" s="200"/>
      <c r="F182" s="201">
        <f>+F181+F173+F165</f>
        <v>37308285.285999998</v>
      </c>
      <c r="G182" s="199"/>
      <c r="H182" s="201"/>
      <c r="I182" s="201">
        <f>+I181+I173+I165</f>
        <v>41078602.994000003</v>
      </c>
      <c r="J182" s="199"/>
      <c r="K182" s="202"/>
      <c r="L182" s="201">
        <f>+L181+L173+L165</f>
        <v>44964463.895999998</v>
      </c>
      <c r="M182" s="199"/>
      <c r="N182" s="202"/>
      <c r="O182" s="201">
        <f>+O181+O173+O165</f>
        <v>48940732.593999997</v>
      </c>
      <c r="P182" s="199"/>
      <c r="Q182" s="202"/>
      <c r="R182" s="201">
        <f>+R181+R173+R165</f>
        <v>53056272.274000004</v>
      </c>
    </row>
    <row r="183" spans="1:18" ht="15.75" x14ac:dyDescent="0.25">
      <c r="A183" s="382" t="s">
        <v>383</v>
      </c>
      <c r="B183" s="382"/>
      <c r="C183" s="191"/>
      <c r="D183" s="192"/>
      <c r="E183" s="193"/>
      <c r="F183" s="194"/>
      <c r="G183" s="192"/>
      <c r="H183" s="194"/>
      <c r="I183" s="194"/>
      <c r="J183" s="192"/>
      <c r="K183" s="195"/>
      <c r="L183" s="194"/>
      <c r="M183" s="192"/>
      <c r="N183" s="195"/>
      <c r="O183" s="194"/>
      <c r="P183" s="192"/>
      <c r="Q183" s="195"/>
      <c r="R183" s="194"/>
    </row>
    <row r="184" spans="1:18" x14ac:dyDescent="0.2">
      <c r="A184" s="381" t="s">
        <v>384</v>
      </c>
      <c r="B184" s="381"/>
      <c r="C184" s="181" t="s">
        <v>385</v>
      </c>
      <c r="D184" s="203">
        <v>129944</v>
      </c>
      <c r="E184" s="183">
        <v>195</v>
      </c>
      <c r="F184" s="176">
        <f t="shared" si="40"/>
        <v>25339080</v>
      </c>
      <c r="G184" s="174">
        <v>143053</v>
      </c>
      <c r="H184" s="176">
        <f t="shared" si="41"/>
        <v>195</v>
      </c>
      <c r="I184" s="176">
        <f t="shared" si="42"/>
        <v>27895335</v>
      </c>
      <c r="J184" s="174">
        <v>156553</v>
      </c>
      <c r="K184" s="176">
        <f t="shared" si="43"/>
        <v>195</v>
      </c>
      <c r="L184" s="176">
        <f t="shared" si="44"/>
        <v>30527835</v>
      </c>
      <c r="M184" s="174">
        <v>170453</v>
      </c>
      <c r="N184" s="176">
        <f t="shared" si="45"/>
        <v>195</v>
      </c>
      <c r="O184" s="179">
        <f t="shared" si="46"/>
        <v>33238335</v>
      </c>
      <c r="P184" s="174">
        <v>184762</v>
      </c>
      <c r="Q184" s="179">
        <f t="shared" si="47"/>
        <v>195</v>
      </c>
      <c r="R184" s="176">
        <f t="shared" si="48"/>
        <v>36028590</v>
      </c>
    </row>
    <row r="185" spans="1:18" x14ac:dyDescent="0.2">
      <c r="A185" s="381" t="s">
        <v>386</v>
      </c>
      <c r="B185" s="381"/>
      <c r="C185" s="181" t="s">
        <v>385</v>
      </c>
      <c r="D185" s="203">
        <v>92195</v>
      </c>
      <c r="E185" s="204">
        <v>11.25</v>
      </c>
      <c r="F185" s="176">
        <f t="shared" si="40"/>
        <v>1037193.75</v>
      </c>
      <c r="G185" s="174">
        <v>101496</v>
      </c>
      <c r="H185" s="176">
        <f t="shared" si="41"/>
        <v>11</v>
      </c>
      <c r="I185" s="176">
        <f t="shared" si="42"/>
        <v>1116456</v>
      </c>
      <c r="J185" s="174">
        <v>111074</v>
      </c>
      <c r="K185" s="176">
        <f t="shared" si="43"/>
        <v>11</v>
      </c>
      <c r="L185" s="176">
        <f t="shared" si="44"/>
        <v>1221814</v>
      </c>
      <c r="M185" s="174">
        <v>120936</v>
      </c>
      <c r="N185" s="176">
        <f t="shared" si="45"/>
        <v>11</v>
      </c>
      <c r="O185" s="179">
        <f t="shared" si="46"/>
        <v>1330296</v>
      </c>
      <c r="P185" s="174">
        <v>131088</v>
      </c>
      <c r="Q185" s="179">
        <f t="shared" si="47"/>
        <v>11</v>
      </c>
      <c r="R185" s="176">
        <f t="shared" si="48"/>
        <v>1441968</v>
      </c>
    </row>
    <row r="186" spans="1:18" x14ac:dyDescent="0.2">
      <c r="A186" s="381" t="s">
        <v>387</v>
      </c>
      <c r="B186" s="381"/>
      <c r="C186" s="181" t="s">
        <v>385</v>
      </c>
      <c r="D186" s="203">
        <v>153659</v>
      </c>
      <c r="E186" s="183">
        <v>7</v>
      </c>
      <c r="F186" s="176">
        <f t="shared" si="40"/>
        <v>1075613</v>
      </c>
      <c r="G186" s="174">
        <v>169161</v>
      </c>
      <c r="H186" s="176">
        <f t="shared" si="41"/>
        <v>7</v>
      </c>
      <c r="I186" s="176">
        <f t="shared" si="42"/>
        <v>1184127</v>
      </c>
      <c r="J186" s="174">
        <v>185124</v>
      </c>
      <c r="K186" s="176">
        <f t="shared" si="43"/>
        <v>7</v>
      </c>
      <c r="L186" s="176">
        <f t="shared" si="44"/>
        <v>1295868</v>
      </c>
      <c r="M186" s="174">
        <v>201561</v>
      </c>
      <c r="N186" s="176">
        <f t="shared" si="45"/>
        <v>7</v>
      </c>
      <c r="O186" s="179">
        <f t="shared" si="46"/>
        <v>1410927</v>
      </c>
      <c r="P186" s="174">
        <v>218481</v>
      </c>
      <c r="Q186" s="179">
        <f t="shared" si="47"/>
        <v>7</v>
      </c>
      <c r="R186" s="176">
        <f t="shared" si="48"/>
        <v>1529367</v>
      </c>
    </row>
    <row r="187" spans="1:18" x14ac:dyDescent="0.2">
      <c r="A187" s="376" t="s">
        <v>388</v>
      </c>
      <c r="B187" s="376"/>
      <c r="C187" s="181" t="s">
        <v>385</v>
      </c>
      <c r="D187" s="203">
        <v>129944</v>
      </c>
      <c r="E187" s="183">
        <v>35</v>
      </c>
      <c r="F187" s="176">
        <f t="shared" si="40"/>
        <v>4548040</v>
      </c>
      <c r="G187" s="174">
        <v>143053</v>
      </c>
      <c r="H187" s="176">
        <f t="shared" si="41"/>
        <v>35</v>
      </c>
      <c r="I187" s="176">
        <f t="shared" si="42"/>
        <v>5006855</v>
      </c>
      <c r="J187" s="174">
        <v>156553</v>
      </c>
      <c r="K187" s="176">
        <f t="shared" si="43"/>
        <v>35</v>
      </c>
      <c r="L187" s="176">
        <f t="shared" si="44"/>
        <v>5479355</v>
      </c>
      <c r="M187" s="174">
        <v>170453</v>
      </c>
      <c r="N187" s="176">
        <f t="shared" si="45"/>
        <v>35</v>
      </c>
      <c r="O187" s="179">
        <f t="shared" si="46"/>
        <v>5965855</v>
      </c>
      <c r="P187" s="174">
        <v>184762</v>
      </c>
      <c r="Q187" s="179">
        <f t="shared" si="47"/>
        <v>35</v>
      </c>
      <c r="R187" s="176">
        <f t="shared" si="48"/>
        <v>6466670</v>
      </c>
    </row>
    <row r="188" spans="1:18" x14ac:dyDescent="0.2">
      <c r="A188" s="376" t="s">
        <v>389</v>
      </c>
      <c r="B188" s="376"/>
      <c r="C188" s="181" t="s">
        <v>385</v>
      </c>
      <c r="D188" s="203">
        <v>3842</v>
      </c>
      <c r="E188" s="183">
        <v>15</v>
      </c>
      <c r="F188" s="176">
        <f t="shared" si="40"/>
        <v>57630</v>
      </c>
      <c r="G188" s="174">
        <v>4229</v>
      </c>
      <c r="H188" s="176">
        <f t="shared" si="41"/>
        <v>15</v>
      </c>
      <c r="I188" s="176">
        <f t="shared" si="42"/>
        <v>63435</v>
      </c>
      <c r="J188" s="174">
        <v>4629</v>
      </c>
      <c r="K188" s="176">
        <f t="shared" si="43"/>
        <v>15</v>
      </c>
      <c r="L188" s="176">
        <f t="shared" si="44"/>
        <v>69435</v>
      </c>
      <c r="M188" s="174">
        <v>5039</v>
      </c>
      <c r="N188" s="176">
        <f t="shared" si="45"/>
        <v>15</v>
      </c>
      <c r="O188" s="179">
        <f t="shared" si="46"/>
        <v>75585</v>
      </c>
      <c r="P188" s="174">
        <v>4562</v>
      </c>
      <c r="Q188" s="179">
        <f t="shared" si="47"/>
        <v>15</v>
      </c>
      <c r="R188" s="176">
        <f t="shared" si="48"/>
        <v>68430</v>
      </c>
    </row>
    <row r="189" spans="1:18" x14ac:dyDescent="0.2">
      <c r="A189" s="376" t="s">
        <v>390</v>
      </c>
      <c r="B189" s="376"/>
      <c r="C189" s="181" t="s">
        <v>385</v>
      </c>
      <c r="D189" s="203">
        <v>6403</v>
      </c>
      <c r="E189" s="183">
        <v>17</v>
      </c>
      <c r="F189" s="176">
        <f t="shared" si="40"/>
        <v>108851</v>
      </c>
      <c r="G189" s="174">
        <v>7049</v>
      </c>
      <c r="H189" s="176">
        <f t="shared" si="41"/>
        <v>17</v>
      </c>
      <c r="I189" s="176">
        <f t="shared" si="42"/>
        <v>119833</v>
      </c>
      <c r="J189" s="174">
        <v>7713</v>
      </c>
      <c r="K189" s="176">
        <f t="shared" si="43"/>
        <v>17</v>
      </c>
      <c r="L189" s="176">
        <f t="shared" si="44"/>
        <v>131121</v>
      </c>
      <c r="M189" s="174">
        <v>8399</v>
      </c>
      <c r="N189" s="176">
        <f t="shared" si="45"/>
        <v>17</v>
      </c>
      <c r="O189" s="179">
        <f t="shared" si="46"/>
        <v>142783</v>
      </c>
      <c r="P189" s="174">
        <v>9104</v>
      </c>
      <c r="Q189" s="179">
        <f t="shared" si="47"/>
        <v>17</v>
      </c>
      <c r="R189" s="176">
        <f t="shared" si="48"/>
        <v>154768</v>
      </c>
    </row>
    <row r="190" spans="1:18" x14ac:dyDescent="0.2">
      <c r="A190" s="376" t="s">
        <v>391</v>
      </c>
      <c r="B190" s="376"/>
      <c r="C190" s="181" t="s">
        <v>385</v>
      </c>
      <c r="D190" s="203">
        <v>5415</v>
      </c>
      <c r="E190" s="183">
        <v>40</v>
      </c>
      <c r="F190" s="176">
        <f t="shared" si="40"/>
        <v>216600</v>
      </c>
      <c r="G190" s="174">
        <v>5961</v>
      </c>
      <c r="H190" s="176">
        <f t="shared" si="41"/>
        <v>40</v>
      </c>
      <c r="I190" s="176">
        <f t="shared" si="42"/>
        <v>238440</v>
      </c>
      <c r="J190" s="174">
        <v>6524</v>
      </c>
      <c r="K190" s="176">
        <f t="shared" si="43"/>
        <v>40</v>
      </c>
      <c r="L190" s="176">
        <f t="shared" si="44"/>
        <v>260960</v>
      </c>
      <c r="M190" s="174">
        <v>7103</v>
      </c>
      <c r="N190" s="176">
        <f t="shared" si="45"/>
        <v>40</v>
      </c>
      <c r="O190" s="179">
        <f t="shared" si="46"/>
        <v>284120</v>
      </c>
      <c r="P190" s="174">
        <v>7699</v>
      </c>
      <c r="Q190" s="179">
        <f t="shared" si="47"/>
        <v>40</v>
      </c>
      <c r="R190" s="176">
        <f t="shared" si="48"/>
        <v>307960</v>
      </c>
    </row>
    <row r="191" spans="1:18" x14ac:dyDescent="0.2">
      <c r="A191" s="376" t="s">
        <v>392</v>
      </c>
      <c r="B191" s="376"/>
      <c r="C191" s="181" t="s">
        <v>385</v>
      </c>
      <c r="D191" s="203">
        <v>5415</v>
      </c>
      <c r="E191" s="183">
        <v>20</v>
      </c>
      <c r="F191" s="176">
        <f t="shared" si="40"/>
        <v>108300</v>
      </c>
      <c r="G191" s="174">
        <v>5961</v>
      </c>
      <c r="H191" s="176">
        <f t="shared" si="41"/>
        <v>20</v>
      </c>
      <c r="I191" s="176">
        <f t="shared" si="42"/>
        <v>119220</v>
      </c>
      <c r="J191" s="174">
        <v>6524</v>
      </c>
      <c r="K191" s="176">
        <f t="shared" si="43"/>
        <v>20</v>
      </c>
      <c r="L191" s="176">
        <f t="shared" si="44"/>
        <v>130480</v>
      </c>
      <c r="M191" s="174">
        <v>7103</v>
      </c>
      <c r="N191" s="176">
        <f t="shared" si="45"/>
        <v>20</v>
      </c>
      <c r="O191" s="179">
        <f t="shared" si="46"/>
        <v>142060</v>
      </c>
      <c r="P191" s="174">
        <v>7699</v>
      </c>
      <c r="Q191" s="179">
        <f t="shared" si="47"/>
        <v>20</v>
      </c>
      <c r="R191" s="176">
        <f t="shared" si="48"/>
        <v>153980</v>
      </c>
    </row>
    <row r="192" spans="1:18" ht="15.75" x14ac:dyDescent="0.25">
      <c r="A192" s="377" t="s">
        <v>393</v>
      </c>
      <c r="B192" s="378"/>
      <c r="C192" s="184"/>
      <c r="D192" s="185"/>
      <c r="E192" s="186"/>
      <c r="F192" s="187">
        <f>SUM(F184:F191)</f>
        <v>32491307.75</v>
      </c>
      <c r="G192" s="185"/>
      <c r="H192" s="187"/>
      <c r="I192" s="187">
        <f>SUM(I184:I191)</f>
        <v>35743701</v>
      </c>
      <c r="J192" s="185"/>
      <c r="K192" s="188"/>
      <c r="L192" s="187">
        <f>SUM(L184:L191)</f>
        <v>39116868</v>
      </c>
      <c r="M192" s="185"/>
      <c r="N192" s="188"/>
      <c r="O192" s="187">
        <f>SUM(O184:O191)</f>
        <v>42589961</v>
      </c>
      <c r="P192" s="185"/>
      <c r="Q192" s="188"/>
      <c r="R192" s="187">
        <f>SUM(R184:R191)</f>
        <v>46151733</v>
      </c>
    </row>
    <row r="193" spans="1:18" ht="15.75" x14ac:dyDescent="0.25">
      <c r="A193" s="205" t="s">
        <v>394</v>
      </c>
      <c r="B193" s="206"/>
      <c r="C193" s="207"/>
      <c r="D193" s="208"/>
      <c r="E193" s="209"/>
      <c r="F193" s="210">
        <f>+F182+F192</f>
        <v>69799593.035999998</v>
      </c>
      <c r="G193" s="208"/>
      <c r="H193" s="210"/>
      <c r="I193" s="210">
        <f>+I182+I192</f>
        <v>76822303.994000003</v>
      </c>
      <c r="J193" s="208"/>
      <c r="K193" s="211"/>
      <c r="L193" s="210">
        <f>+L182+L192</f>
        <v>84081331.895999998</v>
      </c>
      <c r="M193" s="208"/>
      <c r="N193" s="211"/>
      <c r="O193" s="210">
        <f>+O182+O192</f>
        <v>91530693.593999997</v>
      </c>
      <c r="P193" s="208"/>
      <c r="Q193" s="211"/>
      <c r="R193" s="210">
        <f>+R182+R192</f>
        <v>99208005.274000004</v>
      </c>
    </row>
    <row r="194" spans="1:18" x14ac:dyDescent="0.2">
      <c r="B194" s="15"/>
      <c r="C194" s="21"/>
      <c r="D194" s="15"/>
      <c r="E194" s="21"/>
      <c r="F194" s="21"/>
    </row>
    <row r="195" spans="1:18" x14ac:dyDescent="0.2">
      <c r="B195" s="15"/>
      <c r="C195" s="21"/>
      <c r="D195" s="15"/>
      <c r="E195" s="21"/>
      <c r="F195" s="21"/>
    </row>
    <row r="196" spans="1:18" ht="15.75" x14ac:dyDescent="0.25">
      <c r="A196" s="379" t="s">
        <v>37</v>
      </c>
      <c r="B196" s="379"/>
      <c r="C196" s="379"/>
      <c r="D196" s="379"/>
      <c r="E196" s="379"/>
      <c r="F196" s="379"/>
      <c r="G196" s="379"/>
      <c r="H196" s="16"/>
      <c r="I196" s="16"/>
    </row>
    <row r="197" spans="1:18" ht="15.75" x14ac:dyDescent="0.25">
      <c r="A197" s="380" t="s">
        <v>36</v>
      </c>
      <c r="B197" s="380"/>
      <c r="C197" s="380"/>
      <c r="D197" s="380"/>
      <c r="E197" s="380"/>
      <c r="F197" s="380"/>
      <c r="G197" s="380"/>
      <c r="H197" s="22"/>
      <c r="I197" s="22"/>
    </row>
    <row r="198" spans="1:18" x14ac:dyDescent="0.2">
      <c r="A198" s="7" t="s">
        <v>1</v>
      </c>
      <c r="B198" s="388" t="s">
        <v>2</v>
      </c>
      <c r="C198" s="388"/>
      <c r="D198" s="155" t="s">
        <v>3</v>
      </c>
      <c r="E198" s="155"/>
      <c r="F198" s="155"/>
      <c r="G198" s="155"/>
      <c r="H198" s="14"/>
      <c r="I198" s="14"/>
    </row>
    <row r="199" spans="1:18" x14ac:dyDescent="0.2">
      <c r="A199" s="9" t="s">
        <v>6</v>
      </c>
      <c r="B199">
        <v>1</v>
      </c>
      <c r="C199">
        <v>2</v>
      </c>
      <c r="D199" s="13">
        <v>3</v>
      </c>
      <c r="E199">
        <v>4</v>
      </c>
      <c r="F199">
        <v>5</v>
      </c>
      <c r="G199">
        <v>6</v>
      </c>
      <c r="H199" s="15"/>
      <c r="I199" s="15"/>
    </row>
    <row r="200" spans="1:18" x14ac:dyDescent="0.2">
      <c r="A200" s="6" t="s">
        <v>4</v>
      </c>
      <c r="B200" s="6"/>
      <c r="C200" s="10">
        <f>E126</f>
        <v>0.61818181818181817</v>
      </c>
      <c r="D200" s="10">
        <f t="shared" ref="D200:G200" si="49">F126</f>
        <v>0.70909090909090911</v>
      </c>
      <c r="E200" s="10">
        <f t="shared" si="49"/>
        <v>0.80909090909090908</v>
      </c>
      <c r="F200" s="10">
        <f t="shared" si="49"/>
        <v>0.91818181818181821</v>
      </c>
      <c r="G200" s="10">
        <f t="shared" si="49"/>
        <v>1</v>
      </c>
      <c r="H200" s="124"/>
      <c r="I200" s="124"/>
    </row>
    <row r="201" spans="1:18" x14ac:dyDescent="0.2">
      <c r="A201" s="8" t="s">
        <v>432</v>
      </c>
      <c r="C201" s="5">
        <f>C27</f>
        <v>333000</v>
      </c>
      <c r="D201" s="5">
        <f>D27</f>
        <v>382000</v>
      </c>
      <c r="E201" s="5">
        <f>E27</f>
        <v>435000</v>
      </c>
      <c r="F201" s="5">
        <f>F27</f>
        <v>493000</v>
      </c>
      <c r="G201" s="5">
        <f>G27</f>
        <v>537000</v>
      </c>
      <c r="H201" s="15"/>
      <c r="I201" s="15"/>
    </row>
    <row r="202" spans="1:18" x14ac:dyDescent="0.2">
      <c r="A202" s="8" t="s">
        <v>38</v>
      </c>
      <c r="C202" s="5">
        <f>C203/C201</f>
        <v>209.60838749549549</v>
      </c>
      <c r="D202" s="5">
        <f t="shared" ref="D202:G202" si="50">D203/D201</f>
        <v>201.10550783769634</v>
      </c>
      <c r="E202" s="5">
        <f t="shared" si="50"/>
        <v>193.29041815172414</v>
      </c>
      <c r="F202" s="5">
        <f t="shared" si="50"/>
        <v>185.66063609330629</v>
      </c>
      <c r="G202" s="5">
        <f t="shared" si="50"/>
        <v>184.74488877839852</v>
      </c>
      <c r="H202" s="15"/>
      <c r="I202" s="15"/>
    </row>
    <row r="203" spans="1:18" x14ac:dyDescent="0.2">
      <c r="A203" s="24" t="s">
        <v>431</v>
      </c>
      <c r="B203" s="7"/>
      <c r="C203" s="96">
        <f>F193</f>
        <v>69799593.035999998</v>
      </c>
      <c r="D203" s="96">
        <f>I193</f>
        <v>76822303.994000003</v>
      </c>
      <c r="E203" s="96">
        <f>L193</f>
        <v>84081331.895999998</v>
      </c>
      <c r="F203" s="96">
        <f>O193</f>
        <v>91530693.593999997</v>
      </c>
      <c r="G203" s="96">
        <f>R193</f>
        <v>99208005.274000004</v>
      </c>
      <c r="H203" s="33"/>
      <c r="I203" s="33"/>
    </row>
  </sheetData>
  <mergeCells count="71">
    <mergeCell ref="B198:C198"/>
    <mergeCell ref="A57:A58"/>
    <mergeCell ref="B57:B58"/>
    <mergeCell ref="A94:A95"/>
    <mergeCell ref="A130:I130"/>
    <mergeCell ref="A122:K122"/>
    <mergeCell ref="A154:R154"/>
    <mergeCell ref="M155:O155"/>
    <mergeCell ref="P155:R155"/>
    <mergeCell ref="A157:B157"/>
    <mergeCell ref="A158:B158"/>
    <mergeCell ref="A155:B156"/>
    <mergeCell ref="C155:C156"/>
    <mergeCell ref="D155:F155"/>
    <mergeCell ref="G155:I155"/>
    <mergeCell ref="J155:L155"/>
    <mergeCell ref="L125:L126"/>
    <mergeCell ref="A123:K123"/>
    <mergeCell ref="D124:E124"/>
    <mergeCell ref="B143:F143"/>
    <mergeCell ref="B132:C132"/>
    <mergeCell ref="A131:I131"/>
    <mergeCell ref="D132:G132"/>
    <mergeCell ref="L82:L83"/>
    <mergeCell ref="A80:L80"/>
    <mergeCell ref="D81:E81"/>
    <mergeCell ref="B12:C12"/>
    <mergeCell ref="B20:C20"/>
    <mergeCell ref="A2:G2"/>
    <mergeCell ref="A1:G1"/>
    <mergeCell ref="J81:J83"/>
    <mergeCell ref="B4:C4"/>
    <mergeCell ref="B144:B145"/>
    <mergeCell ref="C144:C145"/>
    <mergeCell ref="E144:E145"/>
    <mergeCell ref="F144:F145"/>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3:B183"/>
    <mergeCell ref="A184:B184"/>
    <mergeCell ref="A185:B185"/>
    <mergeCell ref="A186:B186"/>
    <mergeCell ref="A187:B187"/>
    <mergeCell ref="A188:B188"/>
    <mergeCell ref="A189:B189"/>
    <mergeCell ref="A190:B190"/>
    <mergeCell ref="A191:B191"/>
    <mergeCell ref="A192:B192"/>
    <mergeCell ref="A196:G196"/>
    <mergeCell ref="A197:G197"/>
  </mergeCells>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Equation.3" shapeId="13313" r:id="rId4">
          <objectPr defaultSize="0" autoLine="0" autoPict="0" r:id="rId5">
            <anchor moveWithCells="1">
              <from>
                <xdr:col>3</xdr:col>
                <xdr:colOff>9525</xdr:colOff>
                <xdr:row>137</xdr:row>
                <xdr:rowOff>0</xdr:rowOff>
              </from>
              <to>
                <xdr:col>6</xdr:col>
                <xdr:colOff>771525</xdr:colOff>
                <xdr:row>140</xdr:row>
                <xdr:rowOff>133350</xdr:rowOff>
              </to>
            </anchor>
          </objectPr>
        </oleObject>
      </mc:Choice>
      <mc:Fallback>
        <oleObject progId="Equation.3" shapeId="1331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49"/>
  <sheetViews>
    <sheetView topLeftCell="A10" workbookViewId="0">
      <selection activeCell="B25" sqref="B25"/>
    </sheetView>
  </sheetViews>
  <sheetFormatPr baseColWidth="10" defaultRowHeight="15" x14ac:dyDescent="0.2"/>
  <cols>
    <col min="1" max="1" width="35" customWidth="1"/>
    <col min="2" max="2" width="13.33203125" customWidth="1"/>
    <col min="3" max="3" width="13.33203125" bestFit="1" customWidth="1"/>
    <col min="4" max="4" width="14.109375" customWidth="1"/>
    <col min="5" max="6" width="13.33203125" bestFit="1" customWidth="1"/>
    <col min="8" max="8" width="13.33203125" bestFit="1" customWidth="1"/>
    <col min="10" max="10" width="13.88671875" customWidth="1"/>
    <col min="257" max="257" width="26.44140625" customWidth="1"/>
    <col min="258" max="258" width="13.33203125" customWidth="1"/>
    <col min="259" max="259" width="12.5546875" customWidth="1"/>
    <col min="260" max="260" width="14.109375" customWidth="1"/>
    <col min="261" max="261" width="11.88671875" customWidth="1"/>
    <col min="513" max="513" width="26.44140625" customWidth="1"/>
    <col min="514" max="514" width="13.33203125" customWidth="1"/>
    <col min="515" max="515" width="12.5546875" customWidth="1"/>
    <col min="516" max="516" width="14.109375" customWidth="1"/>
    <col min="517" max="517" width="11.88671875" customWidth="1"/>
    <col min="769" max="769" width="26.44140625" customWidth="1"/>
    <col min="770" max="770" width="13.33203125" customWidth="1"/>
    <col min="771" max="771" width="12.5546875" customWidth="1"/>
    <col min="772" max="772" width="14.109375" customWidth="1"/>
    <col min="773" max="773" width="11.88671875" customWidth="1"/>
    <col min="1025" max="1025" width="26.44140625" customWidth="1"/>
    <col min="1026" max="1026" width="13.33203125" customWidth="1"/>
    <col min="1027" max="1027" width="12.5546875" customWidth="1"/>
    <col min="1028" max="1028" width="14.109375" customWidth="1"/>
    <col min="1029" max="1029" width="11.88671875" customWidth="1"/>
    <col min="1281" max="1281" width="26.44140625" customWidth="1"/>
    <col min="1282" max="1282" width="13.33203125" customWidth="1"/>
    <col min="1283" max="1283" width="12.5546875" customWidth="1"/>
    <col min="1284" max="1284" width="14.109375" customWidth="1"/>
    <col min="1285" max="1285" width="11.88671875" customWidth="1"/>
    <col min="1537" max="1537" width="26.44140625" customWidth="1"/>
    <col min="1538" max="1538" width="13.33203125" customWidth="1"/>
    <col min="1539" max="1539" width="12.5546875" customWidth="1"/>
    <col min="1540" max="1540" width="14.109375" customWidth="1"/>
    <col min="1541" max="1541" width="11.88671875" customWidth="1"/>
    <col min="1793" max="1793" width="26.44140625" customWidth="1"/>
    <col min="1794" max="1794" width="13.33203125" customWidth="1"/>
    <col min="1795" max="1795" width="12.5546875" customWidth="1"/>
    <col min="1796" max="1796" width="14.109375" customWidth="1"/>
    <col min="1797" max="1797" width="11.88671875" customWidth="1"/>
    <col min="2049" max="2049" width="26.44140625" customWidth="1"/>
    <col min="2050" max="2050" width="13.33203125" customWidth="1"/>
    <col min="2051" max="2051" width="12.5546875" customWidth="1"/>
    <col min="2052" max="2052" width="14.109375" customWidth="1"/>
    <col min="2053" max="2053" width="11.88671875" customWidth="1"/>
    <col min="2305" max="2305" width="26.44140625" customWidth="1"/>
    <col min="2306" max="2306" width="13.33203125" customWidth="1"/>
    <col min="2307" max="2307" width="12.5546875" customWidth="1"/>
    <col min="2308" max="2308" width="14.109375" customWidth="1"/>
    <col min="2309" max="2309" width="11.88671875" customWidth="1"/>
    <col min="2561" max="2561" width="26.44140625" customWidth="1"/>
    <col min="2562" max="2562" width="13.33203125" customWidth="1"/>
    <col min="2563" max="2563" width="12.5546875" customWidth="1"/>
    <col min="2564" max="2564" width="14.109375" customWidth="1"/>
    <col min="2565" max="2565" width="11.88671875" customWidth="1"/>
    <col min="2817" max="2817" width="26.44140625" customWidth="1"/>
    <col min="2818" max="2818" width="13.33203125" customWidth="1"/>
    <col min="2819" max="2819" width="12.5546875" customWidth="1"/>
    <col min="2820" max="2820" width="14.109375" customWidth="1"/>
    <col min="2821" max="2821" width="11.88671875" customWidth="1"/>
    <col min="3073" max="3073" width="26.44140625" customWidth="1"/>
    <col min="3074" max="3074" width="13.33203125" customWidth="1"/>
    <col min="3075" max="3075" width="12.5546875" customWidth="1"/>
    <col min="3076" max="3076" width="14.109375" customWidth="1"/>
    <col min="3077" max="3077" width="11.88671875" customWidth="1"/>
    <col min="3329" max="3329" width="26.44140625" customWidth="1"/>
    <col min="3330" max="3330" width="13.33203125" customWidth="1"/>
    <col min="3331" max="3331" width="12.5546875" customWidth="1"/>
    <col min="3332" max="3332" width="14.109375" customWidth="1"/>
    <col min="3333" max="3333" width="11.88671875" customWidth="1"/>
    <col min="3585" max="3585" width="26.44140625" customWidth="1"/>
    <col min="3586" max="3586" width="13.33203125" customWidth="1"/>
    <col min="3587" max="3587" width="12.5546875" customWidth="1"/>
    <col min="3588" max="3588" width="14.109375" customWidth="1"/>
    <col min="3589" max="3589" width="11.88671875" customWidth="1"/>
    <col min="3841" max="3841" width="26.44140625" customWidth="1"/>
    <col min="3842" max="3842" width="13.33203125" customWidth="1"/>
    <col min="3843" max="3843" width="12.5546875" customWidth="1"/>
    <col min="3844" max="3844" width="14.109375" customWidth="1"/>
    <col min="3845" max="3845" width="11.88671875" customWidth="1"/>
    <col min="4097" max="4097" width="26.44140625" customWidth="1"/>
    <col min="4098" max="4098" width="13.33203125" customWidth="1"/>
    <col min="4099" max="4099" width="12.5546875" customWidth="1"/>
    <col min="4100" max="4100" width="14.109375" customWidth="1"/>
    <col min="4101" max="4101" width="11.88671875" customWidth="1"/>
    <col min="4353" max="4353" width="26.44140625" customWidth="1"/>
    <col min="4354" max="4354" width="13.33203125" customWidth="1"/>
    <col min="4355" max="4355" width="12.5546875" customWidth="1"/>
    <col min="4356" max="4356" width="14.109375" customWidth="1"/>
    <col min="4357" max="4357" width="11.88671875" customWidth="1"/>
    <col min="4609" max="4609" width="26.44140625" customWidth="1"/>
    <col min="4610" max="4610" width="13.33203125" customWidth="1"/>
    <col min="4611" max="4611" width="12.5546875" customWidth="1"/>
    <col min="4612" max="4612" width="14.109375" customWidth="1"/>
    <col min="4613" max="4613" width="11.88671875" customWidth="1"/>
    <col min="4865" max="4865" width="26.44140625" customWidth="1"/>
    <col min="4866" max="4866" width="13.33203125" customWidth="1"/>
    <col min="4867" max="4867" width="12.5546875" customWidth="1"/>
    <col min="4868" max="4868" width="14.109375" customWidth="1"/>
    <col min="4869" max="4869" width="11.88671875" customWidth="1"/>
    <col min="5121" max="5121" width="26.44140625" customWidth="1"/>
    <col min="5122" max="5122" width="13.33203125" customWidth="1"/>
    <col min="5123" max="5123" width="12.5546875" customWidth="1"/>
    <col min="5124" max="5124" width="14.109375" customWidth="1"/>
    <col min="5125" max="5125" width="11.88671875" customWidth="1"/>
    <col min="5377" max="5377" width="26.44140625" customWidth="1"/>
    <col min="5378" max="5378" width="13.33203125" customWidth="1"/>
    <col min="5379" max="5379" width="12.5546875" customWidth="1"/>
    <col min="5380" max="5380" width="14.109375" customWidth="1"/>
    <col min="5381" max="5381" width="11.88671875" customWidth="1"/>
    <col min="5633" max="5633" width="26.44140625" customWidth="1"/>
    <col min="5634" max="5634" width="13.33203125" customWidth="1"/>
    <col min="5635" max="5635" width="12.5546875" customWidth="1"/>
    <col min="5636" max="5636" width="14.109375" customWidth="1"/>
    <col min="5637" max="5637" width="11.88671875" customWidth="1"/>
    <col min="5889" max="5889" width="26.44140625" customWidth="1"/>
    <col min="5890" max="5890" width="13.33203125" customWidth="1"/>
    <col min="5891" max="5891" width="12.5546875" customWidth="1"/>
    <col min="5892" max="5892" width="14.109375" customWidth="1"/>
    <col min="5893" max="5893" width="11.88671875" customWidth="1"/>
    <col min="6145" max="6145" width="26.44140625" customWidth="1"/>
    <col min="6146" max="6146" width="13.33203125" customWidth="1"/>
    <col min="6147" max="6147" width="12.5546875" customWidth="1"/>
    <col min="6148" max="6148" width="14.109375" customWidth="1"/>
    <col min="6149" max="6149" width="11.88671875" customWidth="1"/>
    <col min="6401" max="6401" width="26.44140625" customWidth="1"/>
    <col min="6402" max="6402" width="13.33203125" customWidth="1"/>
    <col min="6403" max="6403" width="12.5546875" customWidth="1"/>
    <col min="6404" max="6404" width="14.109375" customWidth="1"/>
    <col min="6405" max="6405" width="11.88671875" customWidth="1"/>
    <col min="6657" max="6657" width="26.44140625" customWidth="1"/>
    <col min="6658" max="6658" width="13.33203125" customWidth="1"/>
    <col min="6659" max="6659" width="12.5546875" customWidth="1"/>
    <col min="6660" max="6660" width="14.109375" customWidth="1"/>
    <col min="6661" max="6661" width="11.88671875" customWidth="1"/>
    <col min="6913" max="6913" width="26.44140625" customWidth="1"/>
    <col min="6914" max="6914" width="13.33203125" customWidth="1"/>
    <col min="6915" max="6915" width="12.5546875" customWidth="1"/>
    <col min="6916" max="6916" width="14.109375" customWidth="1"/>
    <col min="6917" max="6917" width="11.88671875" customWidth="1"/>
    <col min="7169" max="7169" width="26.44140625" customWidth="1"/>
    <col min="7170" max="7170" width="13.33203125" customWidth="1"/>
    <col min="7171" max="7171" width="12.5546875" customWidth="1"/>
    <col min="7172" max="7172" width="14.109375" customWidth="1"/>
    <col min="7173" max="7173" width="11.88671875" customWidth="1"/>
    <col min="7425" max="7425" width="26.44140625" customWidth="1"/>
    <col min="7426" max="7426" width="13.33203125" customWidth="1"/>
    <col min="7427" max="7427" width="12.5546875" customWidth="1"/>
    <col min="7428" max="7428" width="14.109375" customWidth="1"/>
    <col min="7429" max="7429" width="11.88671875" customWidth="1"/>
    <col min="7681" max="7681" width="26.44140625" customWidth="1"/>
    <col min="7682" max="7682" width="13.33203125" customWidth="1"/>
    <col min="7683" max="7683" width="12.5546875" customWidth="1"/>
    <col min="7684" max="7684" width="14.109375" customWidth="1"/>
    <col min="7685" max="7685" width="11.88671875" customWidth="1"/>
    <col min="7937" max="7937" width="26.44140625" customWidth="1"/>
    <col min="7938" max="7938" width="13.33203125" customWidth="1"/>
    <col min="7939" max="7939" width="12.5546875" customWidth="1"/>
    <col min="7940" max="7940" width="14.109375" customWidth="1"/>
    <col min="7941" max="7941" width="11.88671875" customWidth="1"/>
    <col min="8193" max="8193" width="26.44140625" customWidth="1"/>
    <col min="8194" max="8194" width="13.33203125" customWidth="1"/>
    <col min="8195" max="8195" width="12.5546875" customWidth="1"/>
    <col min="8196" max="8196" width="14.109375" customWidth="1"/>
    <col min="8197" max="8197" width="11.88671875" customWidth="1"/>
    <col min="8449" max="8449" width="26.44140625" customWidth="1"/>
    <col min="8450" max="8450" width="13.33203125" customWidth="1"/>
    <col min="8451" max="8451" width="12.5546875" customWidth="1"/>
    <col min="8452" max="8452" width="14.109375" customWidth="1"/>
    <col min="8453" max="8453" width="11.88671875" customWidth="1"/>
    <col min="8705" max="8705" width="26.44140625" customWidth="1"/>
    <col min="8706" max="8706" width="13.33203125" customWidth="1"/>
    <col min="8707" max="8707" width="12.5546875" customWidth="1"/>
    <col min="8708" max="8708" width="14.109375" customWidth="1"/>
    <col min="8709" max="8709" width="11.88671875" customWidth="1"/>
    <col min="8961" max="8961" width="26.44140625" customWidth="1"/>
    <col min="8962" max="8962" width="13.33203125" customWidth="1"/>
    <col min="8963" max="8963" width="12.5546875" customWidth="1"/>
    <col min="8964" max="8964" width="14.109375" customWidth="1"/>
    <col min="8965" max="8965" width="11.88671875" customWidth="1"/>
    <col min="9217" max="9217" width="26.44140625" customWidth="1"/>
    <col min="9218" max="9218" width="13.33203125" customWidth="1"/>
    <col min="9219" max="9219" width="12.5546875" customWidth="1"/>
    <col min="9220" max="9220" width="14.109375" customWidth="1"/>
    <col min="9221" max="9221" width="11.88671875" customWidth="1"/>
    <col min="9473" max="9473" width="26.44140625" customWidth="1"/>
    <col min="9474" max="9474" width="13.33203125" customWidth="1"/>
    <col min="9475" max="9475" width="12.5546875" customWidth="1"/>
    <col min="9476" max="9476" width="14.109375" customWidth="1"/>
    <col min="9477" max="9477" width="11.88671875" customWidth="1"/>
    <col min="9729" max="9729" width="26.44140625" customWidth="1"/>
    <col min="9730" max="9730" width="13.33203125" customWidth="1"/>
    <col min="9731" max="9731" width="12.5546875" customWidth="1"/>
    <col min="9732" max="9732" width="14.109375" customWidth="1"/>
    <col min="9733" max="9733" width="11.88671875" customWidth="1"/>
    <col min="9985" max="9985" width="26.44140625" customWidth="1"/>
    <col min="9986" max="9986" width="13.33203125" customWidth="1"/>
    <col min="9987" max="9987" width="12.5546875" customWidth="1"/>
    <col min="9988" max="9988" width="14.109375" customWidth="1"/>
    <col min="9989" max="9989" width="11.88671875" customWidth="1"/>
    <col min="10241" max="10241" width="26.44140625" customWidth="1"/>
    <col min="10242" max="10242" width="13.33203125" customWidth="1"/>
    <col min="10243" max="10243" width="12.5546875" customWidth="1"/>
    <col min="10244" max="10244" width="14.109375" customWidth="1"/>
    <col min="10245" max="10245" width="11.88671875" customWidth="1"/>
    <col min="10497" max="10497" width="26.44140625" customWidth="1"/>
    <col min="10498" max="10498" width="13.33203125" customWidth="1"/>
    <col min="10499" max="10499" width="12.5546875" customWidth="1"/>
    <col min="10500" max="10500" width="14.109375" customWidth="1"/>
    <col min="10501" max="10501" width="11.88671875" customWidth="1"/>
    <col min="10753" max="10753" width="26.44140625" customWidth="1"/>
    <col min="10754" max="10754" width="13.33203125" customWidth="1"/>
    <col min="10755" max="10755" width="12.5546875" customWidth="1"/>
    <col min="10756" max="10756" width="14.109375" customWidth="1"/>
    <col min="10757" max="10757" width="11.88671875" customWidth="1"/>
    <col min="11009" max="11009" width="26.44140625" customWidth="1"/>
    <col min="11010" max="11010" width="13.33203125" customWidth="1"/>
    <col min="11011" max="11011" width="12.5546875" customWidth="1"/>
    <col min="11012" max="11012" width="14.109375" customWidth="1"/>
    <col min="11013" max="11013" width="11.88671875" customWidth="1"/>
    <col min="11265" max="11265" width="26.44140625" customWidth="1"/>
    <col min="11266" max="11266" width="13.33203125" customWidth="1"/>
    <col min="11267" max="11267" width="12.5546875" customWidth="1"/>
    <col min="11268" max="11268" width="14.109375" customWidth="1"/>
    <col min="11269" max="11269" width="11.88671875" customWidth="1"/>
    <col min="11521" max="11521" width="26.44140625" customWidth="1"/>
    <col min="11522" max="11522" width="13.33203125" customWidth="1"/>
    <col min="11523" max="11523" width="12.5546875" customWidth="1"/>
    <col min="11524" max="11524" width="14.109375" customWidth="1"/>
    <col min="11525" max="11525" width="11.88671875" customWidth="1"/>
    <col min="11777" max="11777" width="26.44140625" customWidth="1"/>
    <col min="11778" max="11778" width="13.33203125" customWidth="1"/>
    <col min="11779" max="11779" width="12.5546875" customWidth="1"/>
    <col min="11780" max="11780" width="14.109375" customWidth="1"/>
    <col min="11781" max="11781" width="11.88671875" customWidth="1"/>
    <col min="12033" max="12033" width="26.44140625" customWidth="1"/>
    <col min="12034" max="12034" width="13.33203125" customWidth="1"/>
    <col min="12035" max="12035" width="12.5546875" customWidth="1"/>
    <col min="12036" max="12036" width="14.109375" customWidth="1"/>
    <col min="12037" max="12037" width="11.88671875" customWidth="1"/>
    <col min="12289" max="12289" width="26.44140625" customWidth="1"/>
    <col min="12290" max="12290" width="13.33203125" customWidth="1"/>
    <col min="12291" max="12291" width="12.5546875" customWidth="1"/>
    <col min="12292" max="12292" width="14.109375" customWidth="1"/>
    <col min="12293" max="12293" width="11.88671875" customWidth="1"/>
    <col min="12545" max="12545" width="26.44140625" customWidth="1"/>
    <col min="12546" max="12546" width="13.33203125" customWidth="1"/>
    <col min="12547" max="12547" width="12.5546875" customWidth="1"/>
    <col min="12548" max="12548" width="14.109375" customWidth="1"/>
    <col min="12549" max="12549" width="11.88671875" customWidth="1"/>
    <col min="12801" max="12801" width="26.44140625" customWidth="1"/>
    <col min="12802" max="12802" width="13.33203125" customWidth="1"/>
    <col min="12803" max="12803" width="12.5546875" customWidth="1"/>
    <col min="12804" max="12804" width="14.109375" customWidth="1"/>
    <col min="12805" max="12805" width="11.88671875" customWidth="1"/>
    <col min="13057" max="13057" width="26.44140625" customWidth="1"/>
    <col min="13058" max="13058" width="13.33203125" customWidth="1"/>
    <col min="13059" max="13059" width="12.5546875" customWidth="1"/>
    <col min="13060" max="13060" width="14.109375" customWidth="1"/>
    <col min="13061" max="13061" width="11.88671875" customWidth="1"/>
    <col min="13313" max="13313" width="26.44140625" customWidth="1"/>
    <col min="13314" max="13314" width="13.33203125" customWidth="1"/>
    <col min="13315" max="13315" width="12.5546875" customWidth="1"/>
    <col min="13316" max="13316" width="14.109375" customWidth="1"/>
    <col min="13317" max="13317" width="11.88671875" customWidth="1"/>
    <col min="13569" max="13569" width="26.44140625" customWidth="1"/>
    <col min="13570" max="13570" width="13.33203125" customWidth="1"/>
    <col min="13571" max="13571" width="12.5546875" customWidth="1"/>
    <col min="13572" max="13572" width="14.109375" customWidth="1"/>
    <col min="13573" max="13573" width="11.88671875" customWidth="1"/>
    <col min="13825" max="13825" width="26.44140625" customWidth="1"/>
    <col min="13826" max="13826" width="13.33203125" customWidth="1"/>
    <col min="13827" max="13827" width="12.5546875" customWidth="1"/>
    <col min="13828" max="13828" width="14.109375" customWidth="1"/>
    <col min="13829" max="13829" width="11.88671875" customWidth="1"/>
    <col min="14081" max="14081" width="26.44140625" customWidth="1"/>
    <col min="14082" max="14082" width="13.33203125" customWidth="1"/>
    <col min="14083" max="14083" width="12.5546875" customWidth="1"/>
    <col min="14084" max="14084" width="14.109375" customWidth="1"/>
    <col min="14085" max="14085" width="11.88671875" customWidth="1"/>
    <col min="14337" max="14337" width="26.44140625" customWidth="1"/>
    <col min="14338" max="14338" width="13.33203125" customWidth="1"/>
    <col min="14339" max="14339" width="12.5546875" customWidth="1"/>
    <col min="14340" max="14340" width="14.109375" customWidth="1"/>
    <col min="14341" max="14341" width="11.88671875" customWidth="1"/>
    <col min="14593" max="14593" width="26.44140625" customWidth="1"/>
    <col min="14594" max="14594" width="13.33203125" customWidth="1"/>
    <col min="14595" max="14595" width="12.5546875" customWidth="1"/>
    <col min="14596" max="14596" width="14.109375" customWidth="1"/>
    <col min="14597" max="14597" width="11.88671875" customWidth="1"/>
    <col min="14849" max="14849" width="26.44140625" customWidth="1"/>
    <col min="14850" max="14850" width="13.33203125" customWidth="1"/>
    <col min="14851" max="14851" width="12.5546875" customWidth="1"/>
    <col min="14852" max="14852" width="14.109375" customWidth="1"/>
    <col min="14853" max="14853" width="11.88671875" customWidth="1"/>
    <col min="15105" max="15105" width="26.44140625" customWidth="1"/>
    <col min="15106" max="15106" width="13.33203125" customWidth="1"/>
    <col min="15107" max="15107" width="12.5546875" customWidth="1"/>
    <col min="15108" max="15108" width="14.109375" customWidth="1"/>
    <col min="15109" max="15109" width="11.88671875" customWidth="1"/>
    <col min="15361" max="15361" width="26.44140625" customWidth="1"/>
    <col min="15362" max="15362" width="13.33203125" customWidth="1"/>
    <col min="15363" max="15363" width="12.5546875" customWidth="1"/>
    <col min="15364" max="15364" width="14.109375" customWidth="1"/>
    <col min="15365" max="15365" width="11.88671875" customWidth="1"/>
    <col min="15617" max="15617" width="26.44140625" customWidth="1"/>
    <col min="15618" max="15618" width="13.33203125" customWidth="1"/>
    <col min="15619" max="15619" width="12.5546875" customWidth="1"/>
    <col min="15620" max="15620" width="14.109375" customWidth="1"/>
    <col min="15621" max="15621" width="11.88671875" customWidth="1"/>
    <col min="15873" max="15873" width="26.44140625" customWidth="1"/>
    <col min="15874" max="15874" width="13.33203125" customWidth="1"/>
    <col min="15875" max="15875" width="12.5546875" customWidth="1"/>
    <col min="15876" max="15876" width="14.109375" customWidth="1"/>
    <col min="15877" max="15877" width="11.88671875" customWidth="1"/>
    <col min="16129" max="16129" width="26.44140625" customWidth="1"/>
    <col min="16130" max="16130" width="13.33203125" customWidth="1"/>
    <col min="16131" max="16131" width="12.5546875" customWidth="1"/>
    <col min="16132" max="16132" width="14.109375" customWidth="1"/>
    <col min="16133" max="16133" width="11.88671875" customWidth="1"/>
  </cols>
  <sheetData>
    <row r="1" spans="1:7" ht="20.25" x14ac:dyDescent="0.3">
      <c r="A1" s="440" t="s">
        <v>230</v>
      </c>
      <c r="B1" s="440"/>
      <c r="C1" s="440"/>
      <c r="D1" s="440"/>
      <c r="E1" s="440"/>
      <c r="F1" s="440"/>
      <c r="G1" s="441"/>
    </row>
    <row r="2" spans="1:7" ht="18.75" customHeight="1" x14ac:dyDescent="0.2">
      <c r="A2" s="90" t="s">
        <v>231</v>
      </c>
      <c r="B2" s="97" t="s">
        <v>489</v>
      </c>
      <c r="C2" s="97" t="s">
        <v>265</v>
      </c>
      <c r="D2" s="97" t="s">
        <v>256</v>
      </c>
      <c r="E2" s="98" t="s">
        <v>257</v>
      </c>
      <c r="F2" s="99" t="s">
        <v>258</v>
      </c>
      <c r="G2" s="287"/>
    </row>
    <row r="3" spans="1:7" x14ac:dyDescent="0.2">
      <c r="A3" s="91" t="s">
        <v>259</v>
      </c>
      <c r="B3" s="10">
        <v>0.6</v>
      </c>
      <c r="C3" s="10">
        <v>0.8</v>
      </c>
      <c r="D3" s="10">
        <v>1</v>
      </c>
      <c r="E3" s="10">
        <v>1</v>
      </c>
      <c r="F3" s="10">
        <v>1</v>
      </c>
      <c r="G3" s="288"/>
    </row>
    <row r="4" spans="1:7" x14ac:dyDescent="0.2">
      <c r="A4" s="15" t="s">
        <v>232</v>
      </c>
      <c r="B4" s="72">
        <f>Hoja1!C27</f>
        <v>333000</v>
      </c>
      <c r="C4" s="72">
        <f>Hoja1!D27</f>
        <v>382000</v>
      </c>
      <c r="D4" s="72">
        <f>Hoja1!E27</f>
        <v>435000</v>
      </c>
      <c r="E4" s="72">
        <f>Hoja1!F27</f>
        <v>493000</v>
      </c>
      <c r="F4" s="72">
        <f>Hoja1!G27</f>
        <v>537000</v>
      </c>
      <c r="G4" s="158"/>
    </row>
    <row r="5" spans="1:7" x14ac:dyDescent="0.2">
      <c r="A5" s="75" t="s">
        <v>233</v>
      </c>
      <c r="B5" s="76">
        <f>B6/B4</f>
        <v>443.25825825825825</v>
      </c>
      <c r="C5" s="76">
        <f t="shared" ref="C5:F5" si="0">C6/C4</f>
        <v>443.29842931937173</v>
      </c>
      <c r="D5" s="76">
        <f t="shared" si="0"/>
        <v>443.05747126436779</v>
      </c>
      <c r="E5" s="76">
        <f t="shared" si="0"/>
        <v>442.98174442190668</v>
      </c>
      <c r="F5" s="76">
        <f t="shared" si="0"/>
        <v>442.93296089385473</v>
      </c>
      <c r="G5" s="289"/>
    </row>
    <row r="6" spans="1:7" x14ac:dyDescent="0.2">
      <c r="A6" s="75" t="s">
        <v>260</v>
      </c>
      <c r="B6" s="295">
        <f>Hoja1!C28</f>
        <v>147605000</v>
      </c>
      <c r="C6" s="295">
        <f>Hoja1!D28</f>
        <v>169340000</v>
      </c>
      <c r="D6" s="295">
        <f>Hoja1!E28</f>
        <v>192730000</v>
      </c>
      <c r="E6" s="295">
        <f>Hoja1!F28</f>
        <v>218390000</v>
      </c>
      <c r="F6" s="295">
        <f>Hoja1!G28</f>
        <v>237855000</v>
      </c>
      <c r="G6" s="289"/>
    </row>
    <row r="7" spans="1:7" ht="15.75" x14ac:dyDescent="0.25">
      <c r="A7" s="106" t="s">
        <v>234</v>
      </c>
      <c r="B7" s="105"/>
      <c r="C7" s="105"/>
      <c r="D7" s="105"/>
      <c r="E7" s="105"/>
      <c r="F7" s="105"/>
      <c r="G7" s="123"/>
    </row>
    <row r="8" spans="1:7" x14ac:dyDescent="0.2">
      <c r="A8" s="15" t="s">
        <v>46</v>
      </c>
      <c r="B8" s="72">
        <f>Hoja3!C96</f>
        <v>69799593.035999998</v>
      </c>
      <c r="C8" s="72">
        <f>Hoja3!D96</f>
        <v>76822303.994000003</v>
      </c>
      <c r="D8" s="72">
        <f>Hoja3!E96</f>
        <v>84081331.895999998</v>
      </c>
      <c r="E8" s="72">
        <f>Hoja3!F96</f>
        <v>91530693.593999997</v>
      </c>
      <c r="F8" s="72">
        <f>Hoja3!G96</f>
        <v>99208005.274000004</v>
      </c>
      <c r="G8" s="123"/>
    </row>
    <row r="9" spans="1:7" x14ac:dyDescent="0.2">
      <c r="A9" s="94" t="s">
        <v>47</v>
      </c>
      <c r="B9" s="72">
        <f>Hoja3!C97</f>
        <v>10443572.362879999</v>
      </c>
      <c r="C9" s="72">
        <f>Hoja3!D97</f>
        <v>10443572.362879999</v>
      </c>
      <c r="D9" s="72">
        <f>Hoja3!E97</f>
        <v>10443572.362879999</v>
      </c>
      <c r="E9" s="72">
        <f>Hoja3!F97</f>
        <v>10443572.362879999</v>
      </c>
      <c r="F9" s="72">
        <f>Hoja3!G97</f>
        <v>10443572.362879999</v>
      </c>
      <c r="G9" s="123"/>
    </row>
    <row r="10" spans="1:7" x14ac:dyDescent="0.2">
      <c r="A10" s="94" t="s">
        <v>48</v>
      </c>
      <c r="B10" s="72">
        <f>Hoja3!C98</f>
        <v>5515462</v>
      </c>
      <c r="C10" s="72">
        <f>Hoja3!D98</f>
        <v>5515462</v>
      </c>
      <c r="D10" s="72">
        <f>Hoja3!E98</f>
        <v>5515462</v>
      </c>
      <c r="E10" s="72">
        <f>Hoja3!F98</f>
        <v>5515462</v>
      </c>
      <c r="F10" s="72">
        <f>Hoja3!G98</f>
        <v>5515462</v>
      </c>
      <c r="G10" s="123"/>
    </row>
    <row r="11" spans="1:7" ht="15.75" x14ac:dyDescent="0.25">
      <c r="A11" s="39" t="s">
        <v>235</v>
      </c>
      <c r="B11" s="214">
        <f>SUM(B8:B10)</f>
        <v>85758627.398880005</v>
      </c>
      <c r="C11" s="214">
        <f t="shared" ref="C11:F11" si="1">SUM(C8:C10)</f>
        <v>92781338.356880009</v>
      </c>
      <c r="D11" s="214">
        <f t="shared" si="1"/>
        <v>100040366.25887999</v>
      </c>
      <c r="E11" s="214">
        <f t="shared" si="1"/>
        <v>107489727.95688</v>
      </c>
      <c r="F11" s="214">
        <f t="shared" si="1"/>
        <v>115167039.63688001</v>
      </c>
      <c r="G11" s="290"/>
    </row>
    <row r="12" spans="1:7" ht="15.75" x14ac:dyDescent="0.25">
      <c r="A12" s="101" t="s">
        <v>236</v>
      </c>
      <c r="B12" s="296">
        <f>B11/B4</f>
        <v>257.53341561225227</v>
      </c>
      <c r="C12" s="296">
        <f t="shared" ref="C12:F12" si="2">C11/C4</f>
        <v>242.88308470387437</v>
      </c>
      <c r="D12" s="296">
        <f t="shared" si="2"/>
        <v>229.97785346868963</v>
      </c>
      <c r="E12" s="296">
        <f t="shared" si="2"/>
        <v>218.03190254945233</v>
      </c>
      <c r="F12" s="296">
        <f t="shared" si="2"/>
        <v>214.4637609625326</v>
      </c>
      <c r="G12" s="291"/>
    </row>
    <row r="13" spans="1:7" ht="15.75" x14ac:dyDescent="0.25">
      <c r="A13" s="106" t="s">
        <v>237</v>
      </c>
      <c r="B13" s="105"/>
      <c r="C13" s="105"/>
      <c r="D13" s="105"/>
      <c r="E13" s="105"/>
      <c r="F13" s="105"/>
      <c r="G13" s="123"/>
    </row>
    <row r="14" spans="1:7" x14ac:dyDescent="0.2">
      <c r="A14" s="94" t="s">
        <v>261</v>
      </c>
      <c r="B14" s="72">
        <f>Hoja3!C101</f>
        <v>24108351.436576001</v>
      </c>
      <c r="C14" s="72">
        <f>Hoja3!D101</f>
        <v>24108351.436576001</v>
      </c>
      <c r="D14" s="72">
        <f>Hoja3!E101</f>
        <v>24108351.436576001</v>
      </c>
      <c r="E14" s="72">
        <f>Hoja3!F101</f>
        <v>24108351.436576001</v>
      </c>
      <c r="F14" s="72">
        <f>Hoja3!G101</f>
        <v>24108351.436576001</v>
      </c>
      <c r="G14" s="123"/>
    </row>
    <row r="15" spans="1:7" x14ac:dyDescent="0.2">
      <c r="A15" s="94" t="s">
        <v>262</v>
      </c>
      <c r="B15" s="72">
        <f>Hoja3!C102</f>
        <v>20278677.800000001</v>
      </c>
      <c r="C15" s="72">
        <f>Hoja3!D102</f>
        <v>18450717.800000001</v>
      </c>
      <c r="D15" s="72">
        <f>Hoja3!E102</f>
        <v>18730887.800000001</v>
      </c>
      <c r="E15" s="72">
        <f>Hoja3!F102</f>
        <v>19372967.800000001</v>
      </c>
      <c r="F15" s="72">
        <f>Hoja3!G102</f>
        <v>19809887.800000001</v>
      </c>
      <c r="G15" s="123"/>
    </row>
    <row r="16" spans="1:7" x14ac:dyDescent="0.2">
      <c r="A16" s="94" t="s">
        <v>53</v>
      </c>
      <c r="B16" s="72">
        <f>Hoja3!C103</f>
        <v>4320000</v>
      </c>
      <c r="C16" s="72">
        <f>Hoja3!D103</f>
        <v>4320000</v>
      </c>
      <c r="D16" s="72">
        <f>Hoja3!E103</f>
        <v>4320000</v>
      </c>
      <c r="E16" s="72">
        <f>Hoja3!F103</f>
        <v>4320000</v>
      </c>
      <c r="F16" s="72">
        <f>Hoja3!G103</f>
        <v>4320000</v>
      </c>
      <c r="G16" s="123"/>
    </row>
    <row r="17" spans="1:13" x14ac:dyDescent="0.2">
      <c r="A17" s="94" t="s">
        <v>20</v>
      </c>
      <c r="B17" s="72">
        <f>Hoja3!C104</f>
        <v>1884480</v>
      </c>
      <c r="C17" s="72">
        <f>Hoja3!D104</f>
        <v>1884480</v>
      </c>
      <c r="D17" s="72">
        <f>Hoja3!E104</f>
        <v>1884480</v>
      </c>
      <c r="E17" s="72">
        <f>Hoja3!F104</f>
        <v>1884480</v>
      </c>
      <c r="F17" s="72">
        <f>Hoja3!G104</f>
        <v>1884480</v>
      </c>
      <c r="G17" s="123"/>
    </row>
    <row r="18" spans="1:13" x14ac:dyDescent="0.2">
      <c r="A18" s="94" t="s">
        <v>49</v>
      </c>
      <c r="B18" s="72">
        <f>Hoja3!C99</f>
        <v>1598012.2</v>
      </c>
      <c r="C18" s="72">
        <f>Hoja3!D99</f>
        <v>1598012.2</v>
      </c>
      <c r="D18" s="72">
        <f>Hoja3!E99</f>
        <v>1598012.2</v>
      </c>
      <c r="E18" s="72">
        <f>Hoja3!F99</f>
        <v>1598012.2</v>
      </c>
      <c r="F18" s="72">
        <f>Hoja3!G99</f>
        <v>1598012.2</v>
      </c>
      <c r="G18" s="123"/>
    </row>
    <row r="19" spans="1:13" x14ac:dyDescent="0.2">
      <c r="A19" s="94" t="s">
        <v>263</v>
      </c>
      <c r="B19" s="72">
        <f>Hoja3!C107</f>
        <v>1050000</v>
      </c>
      <c r="C19" s="72">
        <f>Hoja3!D107</f>
        <v>911646.40428406186</v>
      </c>
      <c r="D19" s="72">
        <f>Hoja3!E107</f>
        <v>744238.55346777674</v>
      </c>
      <c r="E19" s="72">
        <f>Hoja3!F107</f>
        <v>541675.0539800718</v>
      </c>
      <c r="F19" s="72">
        <f>Hoja3!G107</f>
        <v>296573.21959994885</v>
      </c>
      <c r="G19" s="123"/>
    </row>
    <row r="20" spans="1:13" ht="15.75" x14ac:dyDescent="0.25">
      <c r="A20" s="39" t="s">
        <v>264</v>
      </c>
      <c r="B20" s="214">
        <f>SUM(B14:B19)</f>
        <v>53239521.436576009</v>
      </c>
      <c r="C20" s="214">
        <f t="shared" ref="C20:F20" si="3">SUM(C14:C19)</f>
        <v>51273207.840860069</v>
      </c>
      <c r="D20" s="214">
        <f t="shared" si="3"/>
        <v>51385969.990043789</v>
      </c>
      <c r="E20" s="214">
        <f t="shared" si="3"/>
        <v>51825486.490556084</v>
      </c>
      <c r="F20" s="214">
        <f t="shared" si="3"/>
        <v>52017304.656175956</v>
      </c>
      <c r="G20" s="290"/>
    </row>
    <row r="21" spans="1:13" ht="15.75" x14ac:dyDescent="0.25">
      <c r="A21" s="101" t="s">
        <v>238</v>
      </c>
      <c r="B21" s="102">
        <f>B20/B4</f>
        <v>159.87844275248051</v>
      </c>
      <c r="C21" s="102">
        <f t="shared" ref="C21:F21" si="4">C20/C4</f>
        <v>134.22305717502636</v>
      </c>
      <c r="D21" s="102">
        <f t="shared" si="4"/>
        <v>118.12866664377883</v>
      </c>
      <c r="E21" s="102">
        <f t="shared" si="4"/>
        <v>105.12269065021518</v>
      </c>
      <c r="F21" s="102">
        <f t="shared" si="4"/>
        <v>96.866489117646097</v>
      </c>
      <c r="G21" s="292"/>
    </row>
    <row r="22" spans="1:13" ht="15.75" x14ac:dyDescent="0.25">
      <c r="A22" s="95" t="s">
        <v>239</v>
      </c>
      <c r="B22" s="297">
        <f>B11+B20</f>
        <v>138998148.83545601</v>
      </c>
      <c r="C22" s="297">
        <f t="shared" ref="C22:F22" si="5">C11+C20</f>
        <v>144054546.19774008</v>
      </c>
      <c r="D22" s="297">
        <f t="shared" si="5"/>
        <v>151426336.24892378</v>
      </c>
      <c r="E22" s="297">
        <f t="shared" si="5"/>
        <v>159315214.44743609</v>
      </c>
      <c r="F22" s="297">
        <f t="shared" si="5"/>
        <v>167184344.29305595</v>
      </c>
      <c r="G22" s="293"/>
    </row>
    <row r="23" spans="1:13" ht="15.75" x14ac:dyDescent="0.25">
      <c r="A23" s="103" t="s">
        <v>240</v>
      </c>
      <c r="B23" s="100">
        <f>B22/B4</f>
        <v>417.41185836473278</v>
      </c>
      <c r="C23" s="100">
        <f t="shared" ref="C23:F23" si="6">C22/C4</f>
        <v>377.1061418789007</v>
      </c>
      <c r="D23" s="100">
        <f t="shared" si="6"/>
        <v>348.10652011246844</v>
      </c>
      <c r="E23" s="100">
        <f t="shared" si="6"/>
        <v>323.15459319966754</v>
      </c>
      <c r="F23" s="100">
        <f t="shared" si="6"/>
        <v>311.3302500801787</v>
      </c>
      <c r="G23" s="290"/>
    </row>
    <row r="24" spans="1:13" x14ac:dyDescent="0.2">
      <c r="A24" s="77" t="s">
        <v>241</v>
      </c>
      <c r="B24" s="36">
        <f>B5-B23</f>
        <v>25.846399893525472</v>
      </c>
      <c r="C24" s="36">
        <f t="shared" ref="C24:F24" si="7">C5-C23</f>
        <v>66.192287440471034</v>
      </c>
      <c r="D24" s="36">
        <f t="shared" si="7"/>
        <v>94.950951151899346</v>
      </c>
      <c r="E24" s="36">
        <f t="shared" si="7"/>
        <v>119.82715122223914</v>
      </c>
      <c r="F24" s="36">
        <f t="shared" si="7"/>
        <v>131.60271081367603</v>
      </c>
      <c r="G24" s="123"/>
    </row>
    <row r="25" spans="1:13" x14ac:dyDescent="0.2">
      <c r="A25" s="78" t="s">
        <v>242</v>
      </c>
      <c r="B25" s="79">
        <f>B24/B23</f>
        <v>6.1920617192770297E-2</v>
      </c>
      <c r="C25" s="79">
        <f t="shared" ref="C25:F25" si="8">C24/C23</f>
        <v>0.17552694079887785</v>
      </c>
      <c r="D25" s="79">
        <f t="shared" si="8"/>
        <v>0.27276406980605244</v>
      </c>
      <c r="E25" s="79">
        <f t="shared" si="8"/>
        <v>0.37080441913509032</v>
      </c>
      <c r="F25" s="79">
        <f t="shared" si="8"/>
        <v>0.42271096618392723</v>
      </c>
      <c r="G25" s="294"/>
    </row>
    <row r="26" spans="1:13" x14ac:dyDescent="0.2">
      <c r="B26" s="35"/>
      <c r="C26" s="35"/>
      <c r="D26" s="35"/>
      <c r="E26" s="35"/>
      <c r="F26" s="35"/>
      <c r="G26" s="35"/>
    </row>
    <row r="27" spans="1:13" ht="20.25" x14ac:dyDescent="0.3">
      <c r="A27" s="440" t="s">
        <v>243</v>
      </c>
      <c r="B27" s="440"/>
      <c r="C27" s="440"/>
      <c r="D27" s="440"/>
      <c r="E27" s="440"/>
      <c r="F27" s="440"/>
      <c r="G27" s="440"/>
      <c r="H27" s="440"/>
      <c r="I27" s="440"/>
    </row>
    <row r="28" spans="1:13" x14ac:dyDescent="0.2">
      <c r="A28" s="80" t="s">
        <v>231</v>
      </c>
      <c r="B28" s="443" t="s">
        <v>287</v>
      </c>
      <c r="C28" s="444"/>
      <c r="D28" s="445" t="s">
        <v>570</v>
      </c>
      <c r="E28" s="446"/>
      <c r="F28" s="447" t="s">
        <v>256</v>
      </c>
      <c r="G28" s="448"/>
      <c r="H28" s="450" t="s">
        <v>257</v>
      </c>
      <c r="I28" s="451"/>
      <c r="J28" s="449" t="s">
        <v>258</v>
      </c>
      <c r="K28" s="449"/>
      <c r="L28" s="439"/>
      <c r="M28" s="439"/>
    </row>
    <row r="29" spans="1:13" x14ac:dyDescent="0.2">
      <c r="A29" s="80"/>
      <c r="B29" s="107" t="s">
        <v>244</v>
      </c>
      <c r="C29" s="107" t="s">
        <v>245</v>
      </c>
      <c r="D29" s="81" t="s">
        <v>244</v>
      </c>
      <c r="E29" s="81" t="s">
        <v>245</v>
      </c>
      <c r="F29" s="107" t="s">
        <v>244</v>
      </c>
      <c r="G29" s="107" t="s">
        <v>245</v>
      </c>
      <c r="H29" s="81" t="s">
        <v>244</v>
      </c>
      <c r="I29" s="81" t="s">
        <v>245</v>
      </c>
      <c r="J29" s="107" t="s">
        <v>244</v>
      </c>
      <c r="K29" s="107" t="s">
        <v>245</v>
      </c>
      <c r="L29" s="330"/>
      <c r="M29" s="330"/>
    </row>
    <row r="30" spans="1:13" x14ac:dyDescent="0.2">
      <c r="A30" s="18" t="s">
        <v>246</v>
      </c>
      <c r="B30" s="92">
        <f>B6</f>
        <v>147605000</v>
      </c>
      <c r="C30" s="83">
        <f>B30/$B$30</f>
        <v>1</v>
      </c>
      <c r="D30" s="104">
        <f>C6</f>
        <v>169340000</v>
      </c>
      <c r="E30" s="84">
        <f>D30/$D$30</f>
        <v>1</v>
      </c>
      <c r="F30" s="92">
        <f>D6</f>
        <v>192730000</v>
      </c>
      <c r="G30" s="84">
        <f>F30/$F$30</f>
        <v>1</v>
      </c>
      <c r="H30" s="92">
        <f>E6</f>
        <v>218390000</v>
      </c>
      <c r="I30" s="85">
        <f>+H30/$H$30</f>
        <v>1</v>
      </c>
      <c r="J30" s="92">
        <f>F6</f>
        <v>237855000</v>
      </c>
      <c r="K30" s="84">
        <f>J30/$J$30</f>
        <v>1</v>
      </c>
      <c r="L30" s="36"/>
      <c r="M30" s="331"/>
    </row>
    <row r="31" spans="1:13" x14ac:dyDescent="0.2">
      <c r="A31" s="18" t="s">
        <v>247</v>
      </c>
      <c r="B31" s="92">
        <f>B11</f>
        <v>85758627.398880005</v>
      </c>
      <c r="C31" s="83">
        <f>B31/$B$30</f>
        <v>0.58100082923261409</v>
      </c>
      <c r="D31" s="104">
        <f>C11</f>
        <v>92781338.356880009</v>
      </c>
      <c r="E31" s="84">
        <f t="shared" ref="E31:E32" si="9">D31/$D$30</f>
        <v>0.54789971865406883</v>
      </c>
      <c r="F31" s="92">
        <f>D11</f>
        <v>100040366.25887999</v>
      </c>
      <c r="G31" s="84">
        <f>F31/$F$30</f>
        <v>0.51907002676739478</v>
      </c>
      <c r="H31" s="92">
        <f>E11</f>
        <v>107489727.95688</v>
      </c>
      <c r="I31" s="85">
        <f>+H31/$H$30</f>
        <v>0.49219162029799901</v>
      </c>
      <c r="J31" s="92">
        <f>F11</f>
        <v>115167039.63688001</v>
      </c>
      <c r="K31" s="84">
        <f t="shared" ref="K31:K32" si="10">J31/$J$30</f>
        <v>0.48419011430022496</v>
      </c>
      <c r="L31" s="36"/>
      <c r="M31" s="331"/>
    </row>
    <row r="32" spans="1:13" x14ac:dyDescent="0.2">
      <c r="A32" s="18" t="s">
        <v>248</v>
      </c>
      <c r="B32" s="92">
        <f>B30-B31</f>
        <v>61846372.601119995</v>
      </c>
      <c r="C32" s="83">
        <f>B32/$B$30</f>
        <v>0.41899917076738591</v>
      </c>
      <c r="D32" s="104">
        <f>D30-D31</f>
        <v>76558661.643119991</v>
      </c>
      <c r="E32" s="84">
        <f t="shared" si="9"/>
        <v>0.45210028134593122</v>
      </c>
      <c r="F32" s="92">
        <f>F30-F31</f>
        <v>92689633.741120011</v>
      </c>
      <c r="G32" s="84">
        <f>F32/$F$30</f>
        <v>0.48092997323260528</v>
      </c>
      <c r="H32" s="92">
        <f>+H30-H31</f>
        <v>110900272.04312</v>
      </c>
      <c r="I32" s="85">
        <f>+H32/$H$30</f>
        <v>0.50780837970200099</v>
      </c>
      <c r="J32" s="92">
        <f>J30-J31</f>
        <v>122687960.36311999</v>
      </c>
      <c r="K32" s="84">
        <f t="shared" si="10"/>
        <v>0.51580988569977504</v>
      </c>
      <c r="L32" s="36"/>
      <c r="M32" s="331"/>
    </row>
    <row r="33" spans="1:13" x14ac:dyDescent="0.2">
      <c r="A33" s="18"/>
      <c r="B33" s="82"/>
      <c r="C33" s="83"/>
      <c r="D33" s="92"/>
      <c r="E33" s="82"/>
      <c r="F33" s="92"/>
      <c r="G33" s="82"/>
      <c r="H33" s="92"/>
      <c r="I33" s="18"/>
      <c r="J33" s="92"/>
      <c r="K33" s="18"/>
      <c r="L33" s="36"/>
      <c r="M33" s="15"/>
    </row>
    <row r="34" spans="1:13" x14ac:dyDescent="0.2">
      <c r="A34" s="18" t="s">
        <v>249</v>
      </c>
      <c r="B34" s="92">
        <f>B20/C32</f>
        <v>127063548.45301777</v>
      </c>
      <c r="C34" s="83"/>
      <c r="D34" s="92">
        <f>C20/E32</f>
        <v>113411138.98052989</v>
      </c>
      <c r="E34" s="82"/>
      <c r="F34" s="92">
        <f>D20/G32</f>
        <v>106847093.85994245</v>
      </c>
      <c r="G34" s="82"/>
      <c r="H34" s="92">
        <f>E20/I32</f>
        <v>102057170.70082423</v>
      </c>
      <c r="I34" s="82"/>
      <c r="J34" s="92">
        <f>F20/K32</f>
        <v>100845885.46729097</v>
      </c>
      <c r="K34" s="18"/>
      <c r="L34" s="36"/>
      <c r="M34" s="15"/>
    </row>
    <row r="35" spans="1:13" x14ac:dyDescent="0.2">
      <c r="A35" s="18"/>
      <c r="B35" s="82"/>
      <c r="C35" s="83"/>
      <c r="D35" s="92"/>
      <c r="E35" s="82"/>
      <c r="F35" s="92"/>
      <c r="G35" s="82"/>
      <c r="H35" s="92"/>
      <c r="I35" s="82"/>
      <c r="J35" s="92"/>
      <c r="K35" s="18"/>
      <c r="L35" s="36"/>
      <c r="M35" s="15"/>
    </row>
    <row r="36" spans="1:13" x14ac:dyDescent="0.2">
      <c r="A36" s="18" t="s">
        <v>250</v>
      </c>
      <c r="B36" s="92">
        <f>B34/B5</f>
        <v>286658.05111517169</v>
      </c>
      <c r="C36" s="83"/>
      <c r="D36" s="92">
        <f>D34/C5</f>
        <v>255834.74129303423</v>
      </c>
      <c r="E36" s="82"/>
      <c r="F36" s="92">
        <f>F34/D5</f>
        <v>241158.54215262269</v>
      </c>
      <c r="G36" s="82"/>
      <c r="H36" s="92">
        <f>+H34/E5</f>
        <v>230386.85450572986</v>
      </c>
      <c r="I36" s="82"/>
      <c r="J36" s="92">
        <f>J34/F5</f>
        <v>227677.536717476</v>
      </c>
      <c r="K36" s="18"/>
      <c r="L36" s="36"/>
      <c r="M36" s="15"/>
    </row>
    <row r="37" spans="1:13" x14ac:dyDescent="0.2">
      <c r="A37" s="18"/>
      <c r="B37" s="82"/>
      <c r="C37" s="83"/>
      <c r="D37" s="92"/>
      <c r="E37" s="82"/>
      <c r="F37" s="92"/>
      <c r="G37" s="82"/>
      <c r="H37" s="92"/>
      <c r="I37" s="82"/>
      <c r="J37" s="92"/>
      <c r="K37" s="18"/>
      <c r="L37" s="36"/>
      <c r="M37" s="15"/>
    </row>
    <row r="38" spans="1:13" x14ac:dyDescent="0.2">
      <c r="A38" s="18" t="s">
        <v>251</v>
      </c>
      <c r="B38" s="93">
        <f>B32/B4</f>
        <v>185.72484264600598</v>
      </c>
      <c r="C38" s="83"/>
      <c r="D38" s="92">
        <f>D32/C4</f>
        <v>200.41534461549736</v>
      </c>
      <c r="E38" s="82"/>
      <c r="F38" s="92">
        <f>F32/D4</f>
        <v>213.07961779567819</v>
      </c>
      <c r="G38" s="82"/>
      <c r="H38" s="92">
        <f>H32/E4</f>
        <v>224.94984187245436</v>
      </c>
      <c r="I38" s="82"/>
      <c r="J38" s="92">
        <f>J32/F4</f>
        <v>228.46919993132215</v>
      </c>
      <c r="K38" s="18"/>
      <c r="L38" s="36"/>
      <c r="M38" s="15"/>
    </row>
    <row r="39" spans="1:13" x14ac:dyDescent="0.2">
      <c r="A39" s="18"/>
      <c r="B39" s="82"/>
      <c r="C39" s="83"/>
      <c r="D39" s="92"/>
      <c r="E39" s="82"/>
      <c r="F39" s="92"/>
      <c r="G39" s="82"/>
      <c r="H39" s="92"/>
      <c r="I39" s="82"/>
      <c r="J39" s="92"/>
      <c r="K39" s="18"/>
      <c r="L39" s="36"/>
      <c r="M39" s="15"/>
    </row>
    <row r="40" spans="1:13" x14ac:dyDescent="0.2">
      <c r="A40" s="18" t="s">
        <v>252</v>
      </c>
      <c r="B40" s="92">
        <f>B20/B38</f>
        <v>286658.05111517175</v>
      </c>
      <c r="C40" s="83"/>
      <c r="D40" s="92">
        <f>C20/D38</f>
        <v>255834.74129303423</v>
      </c>
      <c r="E40" s="82"/>
      <c r="F40" s="92">
        <f>D20/F38</f>
        <v>241158.54215262269</v>
      </c>
      <c r="G40" s="82"/>
      <c r="H40" s="92">
        <f>E20/H38</f>
        <v>230386.85450572986</v>
      </c>
      <c r="I40" s="82"/>
      <c r="J40" s="92">
        <f>F20/J38</f>
        <v>227677.53671747597</v>
      </c>
      <c r="K40" s="18"/>
      <c r="L40" s="36"/>
      <c r="M40" s="15"/>
    </row>
    <row r="41" spans="1:13" x14ac:dyDescent="0.2">
      <c r="B41" s="5"/>
      <c r="C41" s="86"/>
      <c r="D41" s="5"/>
      <c r="E41" s="5"/>
      <c r="F41" s="35"/>
      <c r="G41" s="5"/>
    </row>
    <row r="42" spans="1:13" x14ac:dyDescent="0.2">
      <c r="B42" s="5"/>
      <c r="C42" s="86"/>
      <c r="D42" s="5"/>
      <c r="E42" s="5"/>
      <c r="F42" s="5"/>
      <c r="G42" s="5"/>
      <c r="I42" s="5"/>
    </row>
    <row r="43" spans="1:13" x14ac:dyDescent="0.2">
      <c r="B43" s="5"/>
      <c r="C43" s="88"/>
      <c r="D43" s="5"/>
      <c r="E43" s="5"/>
      <c r="F43" s="5"/>
      <c r="G43" s="5"/>
    </row>
    <row r="44" spans="1:13" x14ac:dyDescent="0.2">
      <c r="B44" s="5"/>
      <c r="C44" s="86"/>
      <c r="D44" s="5"/>
      <c r="E44" s="5"/>
      <c r="F44" s="5"/>
      <c r="G44" s="5"/>
    </row>
    <row r="45" spans="1:13" x14ac:dyDescent="0.2">
      <c r="B45" s="442" t="s">
        <v>266</v>
      </c>
      <c r="C45" s="442"/>
      <c r="D45" s="442"/>
      <c r="E45" s="442"/>
      <c r="F45" s="5"/>
      <c r="G45" s="5"/>
    </row>
    <row r="46" spans="1:13" x14ac:dyDescent="0.2">
      <c r="B46" s="89" t="s">
        <v>253</v>
      </c>
      <c r="C46" s="89" t="s">
        <v>246</v>
      </c>
      <c r="D46" s="89" t="s">
        <v>254</v>
      </c>
      <c r="E46" s="89" t="s">
        <v>255</v>
      </c>
      <c r="F46" s="87"/>
      <c r="G46" s="5"/>
    </row>
    <row r="47" spans="1:13" x14ac:dyDescent="0.2">
      <c r="B47" s="82">
        <v>0</v>
      </c>
      <c r="C47" s="82">
        <v>0</v>
      </c>
      <c r="D47" s="92">
        <f>B20</f>
        <v>53239521.436576009</v>
      </c>
      <c r="E47" s="92">
        <f>D47</f>
        <v>53239521.436576009</v>
      </c>
      <c r="F47" s="5"/>
      <c r="G47" s="5"/>
    </row>
    <row r="48" spans="1:13" x14ac:dyDescent="0.2">
      <c r="B48" s="82">
        <f>B4</f>
        <v>333000</v>
      </c>
      <c r="C48" s="82">
        <f>B30</f>
        <v>147605000</v>
      </c>
      <c r="D48" s="92">
        <f>B20</f>
        <v>53239521.436576009</v>
      </c>
      <c r="E48" s="92">
        <f>B22</f>
        <v>138998148.83545601</v>
      </c>
      <c r="F48" s="5"/>
      <c r="G48" s="5"/>
    </row>
    <row r="49" spans="2:7" x14ac:dyDescent="0.2">
      <c r="B49" s="5"/>
      <c r="C49" s="5"/>
      <c r="D49" s="5"/>
      <c r="E49" s="5"/>
      <c r="F49" s="5"/>
      <c r="G49" s="5"/>
    </row>
  </sheetData>
  <mergeCells count="9">
    <mergeCell ref="L28:M28"/>
    <mergeCell ref="A1:G1"/>
    <mergeCell ref="B45:E45"/>
    <mergeCell ref="B28:C28"/>
    <mergeCell ref="D28:E28"/>
    <mergeCell ref="F28:G28"/>
    <mergeCell ref="J28:K28"/>
    <mergeCell ref="A27:I27"/>
    <mergeCell ref="H28:I28"/>
  </mergeCells>
  <pageMargins left="0.7" right="0.7" top="0.75" bottom="0.75" header="0.3" footer="0.3"/>
  <ignoredErrors>
    <ignoredError sqref="E3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G1:K23"/>
  <sheetViews>
    <sheetView showGridLines="0" workbookViewId="0">
      <selection activeCell="A3" sqref="A3"/>
    </sheetView>
  </sheetViews>
  <sheetFormatPr baseColWidth="10" defaultRowHeight="15" x14ac:dyDescent="0.2"/>
  <cols>
    <col min="7" max="7" width="4.21875" customWidth="1"/>
    <col min="8" max="8" width="34.77734375" customWidth="1"/>
    <col min="9" max="9" width="14" customWidth="1"/>
    <col min="10" max="10" width="3.6640625" customWidth="1"/>
  </cols>
  <sheetData>
    <row r="1" spans="7:11" ht="15.75" thickBot="1" x14ac:dyDescent="0.25"/>
    <row r="2" spans="7:11" ht="15.75" thickTop="1" x14ac:dyDescent="0.2">
      <c r="G2" s="112"/>
      <c r="H2" s="113"/>
      <c r="I2" s="113"/>
      <c r="J2" s="114"/>
    </row>
    <row r="3" spans="7:11" ht="20.100000000000001" customHeight="1" x14ac:dyDescent="0.3">
      <c r="G3" s="115"/>
      <c r="H3" s="452" t="s">
        <v>267</v>
      </c>
      <c r="I3" s="452"/>
      <c r="J3" s="116"/>
      <c r="K3" s="16"/>
    </row>
    <row r="4" spans="7:11" ht="20.100000000000001" customHeight="1" x14ac:dyDescent="0.2">
      <c r="G4" s="115"/>
      <c r="H4" s="15"/>
      <c r="I4" s="15"/>
      <c r="J4" s="117"/>
    </row>
    <row r="5" spans="7:11" ht="20.100000000000001" customHeight="1" x14ac:dyDescent="0.25">
      <c r="G5" s="115"/>
      <c r="H5" s="108" t="s">
        <v>268</v>
      </c>
      <c r="I5" s="109">
        <f>Hoja10!$B$4</f>
        <v>333000</v>
      </c>
      <c r="J5" s="117"/>
    </row>
    <row r="6" spans="7:11" ht="20.100000000000001" customHeight="1" x14ac:dyDescent="0.25">
      <c r="G6" s="115"/>
      <c r="H6" s="110"/>
      <c r="I6" s="111"/>
      <c r="J6" s="117"/>
    </row>
    <row r="7" spans="7:11" ht="20.100000000000001" customHeight="1" x14ac:dyDescent="0.25">
      <c r="G7" s="115"/>
      <c r="H7" s="108" t="s">
        <v>233</v>
      </c>
      <c r="I7" s="109">
        <f>Hoja10!$B$5</f>
        <v>443.25825825825825</v>
      </c>
      <c r="J7" s="117"/>
    </row>
    <row r="8" spans="7:11" ht="20.100000000000001" customHeight="1" x14ac:dyDescent="0.25">
      <c r="G8" s="115"/>
      <c r="H8" s="110"/>
      <c r="I8" s="111"/>
      <c r="J8" s="117"/>
    </row>
    <row r="9" spans="7:11" ht="20.100000000000001" customHeight="1" x14ac:dyDescent="0.25">
      <c r="G9" s="115"/>
      <c r="H9" s="108" t="s">
        <v>269</v>
      </c>
      <c r="I9" s="109">
        <f>Hoja10!$B$20</f>
        <v>53239521.436576009</v>
      </c>
      <c r="J9" s="117"/>
    </row>
    <row r="10" spans="7:11" ht="20.100000000000001" customHeight="1" x14ac:dyDescent="0.25">
      <c r="G10" s="115"/>
      <c r="H10" s="110"/>
      <c r="I10" s="111"/>
      <c r="J10" s="117"/>
    </row>
    <row r="11" spans="7:11" ht="20.100000000000001" customHeight="1" x14ac:dyDescent="0.25">
      <c r="G11" s="115"/>
      <c r="H11" s="108" t="s">
        <v>270</v>
      </c>
      <c r="I11" s="109">
        <f>Hoja10!$B$11</f>
        <v>85758627.398880005</v>
      </c>
      <c r="J11" s="117"/>
    </row>
    <row r="12" spans="7:11" ht="20.100000000000001" customHeight="1" x14ac:dyDescent="0.25">
      <c r="G12" s="115"/>
      <c r="H12" s="110"/>
      <c r="I12" s="111"/>
      <c r="J12" s="117"/>
    </row>
    <row r="13" spans="7:11" ht="20.100000000000001" customHeight="1" x14ac:dyDescent="0.25">
      <c r="G13" s="115"/>
      <c r="H13" s="108" t="s">
        <v>271</v>
      </c>
      <c r="I13" s="109">
        <f>Hoja10!$B$22</f>
        <v>138998148.83545601</v>
      </c>
      <c r="J13" s="117"/>
    </row>
    <row r="14" spans="7:11" ht="20.100000000000001" customHeight="1" x14ac:dyDescent="0.25">
      <c r="G14" s="115"/>
      <c r="H14" s="110"/>
      <c r="I14" s="111"/>
      <c r="J14" s="117"/>
    </row>
    <row r="15" spans="7:11" ht="20.100000000000001" customHeight="1" x14ac:dyDescent="0.25">
      <c r="G15" s="115"/>
      <c r="H15" s="108" t="s">
        <v>240</v>
      </c>
      <c r="I15" s="109">
        <f>Hoja10!$B$23</f>
        <v>417.41185836473278</v>
      </c>
      <c r="J15" s="117"/>
    </row>
    <row r="16" spans="7:11" ht="20.100000000000001" customHeight="1" x14ac:dyDescent="0.25">
      <c r="G16" s="115"/>
      <c r="H16" s="110"/>
      <c r="I16" s="111"/>
      <c r="J16" s="117"/>
    </row>
    <row r="17" spans="7:10" ht="20.100000000000001" customHeight="1" x14ac:dyDescent="0.25">
      <c r="G17" s="115"/>
      <c r="H17" s="108" t="s">
        <v>272</v>
      </c>
      <c r="I17" s="109">
        <f>Hoja10!$B$24</f>
        <v>25.846399893525472</v>
      </c>
      <c r="J17" s="117"/>
    </row>
    <row r="18" spans="7:10" ht="20.100000000000001" customHeight="1" x14ac:dyDescent="0.25">
      <c r="G18" s="115"/>
      <c r="H18" s="110"/>
      <c r="I18" s="111"/>
      <c r="J18" s="117"/>
    </row>
    <row r="19" spans="7:10" ht="20.100000000000001" customHeight="1" x14ac:dyDescent="0.25">
      <c r="G19" s="115"/>
      <c r="H19" s="108" t="s">
        <v>273</v>
      </c>
      <c r="I19" s="109">
        <f>Hoja10!$B$36</f>
        <v>286658.05111517169</v>
      </c>
      <c r="J19" s="117"/>
    </row>
    <row r="20" spans="7:10" ht="20.100000000000001" customHeight="1" x14ac:dyDescent="0.25">
      <c r="G20" s="115"/>
      <c r="H20" s="110"/>
      <c r="I20" s="111"/>
      <c r="J20" s="117"/>
    </row>
    <row r="21" spans="7:10" ht="15.75" x14ac:dyDescent="0.25">
      <c r="G21" s="115"/>
      <c r="H21" s="108" t="s">
        <v>274</v>
      </c>
      <c r="I21" s="109">
        <f>Hoja10!$B$34</f>
        <v>127063548.45301777</v>
      </c>
      <c r="J21" s="117"/>
    </row>
    <row r="22" spans="7:10" ht="15.75" thickBot="1" x14ac:dyDescent="0.25">
      <c r="G22" s="118"/>
      <c r="H22" s="119"/>
      <c r="I22" s="119"/>
      <c r="J22" s="120"/>
    </row>
    <row r="23" spans="7:10" ht="15.75" thickTop="1" x14ac:dyDescent="0.2"/>
  </sheetData>
  <mergeCells count="1">
    <mergeCell ref="H3:I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M151"/>
  <sheetViews>
    <sheetView topLeftCell="A67" workbookViewId="0">
      <selection activeCell="K70" sqref="K70"/>
    </sheetView>
  </sheetViews>
  <sheetFormatPr baseColWidth="10" defaultRowHeight="15" x14ac:dyDescent="0.2"/>
  <cols>
    <col min="1" max="1" width="35.21875" customWidth="1"/>
    <col min="2" max="2" width="16.109375" customWidth="1"/>
    <col min="3" max="3" width="12.44140625" bestFit="1" customWidth="1"/>
    <col min="4" max="4" width="13.33203125" bestFit="1" customWidth="1"/>
    <col min="5" max="5" width="12.44140625" bestFit="1" customWidth="1"/>
    <col min="6" max="6" width="12.88671875" bestFit="1" customWidth="1"/>
    <col min="7" max="7" width="15.21875" customWidth="1"/>
    <col min="8" max="8" width="13" customWidth="1"/>
    <col min="9" max="9" width="12.88671875" customWidth="1"/>
    <col min="10" max="10" width="14.44140625" customWidth="1"/>
    <col min="12" max="12" width="14" customWidth="1"/>
    <col min="13" max="13" width="16.44140625" customWidth="1"/>
  </cols>
  <sheetData>
    <row r="1" spans="1:10" ht="15.75" x14ac:dyDescent="0.25">
      <c r="A1" s="379" t="s">
        <v>275</v>
      </c>
      <c r="B1" s="379"/>
      <c r="C1" s="379"/>
      <c r="D1" s="379"/>
      <c r="E1" s="379"/>
      <c r="F1" s="379"/>
      <c r="G1" s="379"/>
      <c r="H1" s="379"/>
      <c r="I1" s="16"/>
      <c r="J1" s="16"/>
    </row>
    <row r="2" spans="1:10" ht="22.5" customHeight="1" x14ac:dyDescent="0.25">
      <c r="A2" s="380" t="s">
        <v>276</v>
      </c>
      <c r="B2" s="380"/>
      <c r="C2" s="380"/>
      <c r="D2" s="380"/>
      <c r="E2" s="380"/>
      <c r="F2" s="380"/>
      <c r="G2" s="380"/>
      <c r="H2" s="380"/>
      <c r="I2" s="22"/>
      <c r="J2" s="22"/>
    </row>
    <row r="3" spans="1:10" x14ac:dyDescent="0.2">
      <c r="A3" s="14"/>
      <c r="B3" s="14"/>
      <c r="C3" s="14"/>
      <c r="D3" s="14"/>
      <c r="E3" s="14"/>
      <c r="F3" s="14"/>
      <c r="G3" s="14"/>
      <c r="H3" s="14"/>
      <c r="I3" s="14"/>
      <c r="J3" s="14"/>
    </row>
    <row r="4" spans="1:10" x14ac:dyDescent="0.2">
      <c r="A4" s="7" t="s">
        <v>1</v>
      </c>
      <c r="B4" s="155" t="s">
        <v>2</v>
      </c>
      <c r="C4" s="388" t="s">
        <v>3</v>
      </c>
      <c r="D4" s="388"/>
      <c r="E4" s="388"/>
      <c r="F4" s="388"/>
      <c r="G4" s="388"/>
      <c r="H4" s="385" t="s">
        <v>140</v>
      </c>
      <c r="I4" s="15"/>
    </row>
    <row r="5" spans="1:10" x14ac:dyDescent="0.2">
      <c r="A5" s="9" t="s">
        <v>6</v>
      </c>
      <c r="B5" s="32">
        <v>1</v>
      </c>
      <c r="C5" s="32">
        <v>2</v>
      </c>
      <c r="D5" s="26">
        <v>3</v>
      </c>
      <c r="E5" s="32">
        <v>4</v>
      </c>
      <c r="F5" s="32">
        <v>5</v>
      </c>
      <c r="G5" s="32">
        <v>6</v>
      </c>
      <c r="H5" s="386"/>
      <c r="I5" s="153"/>
    </row>
    <row r="6" spans="1:10" x14ac:dyDescent="0.2">
      <c r="A6" s="6" t="s">
        <v>4</v>
      </c>
      <c r="B6" s="6"/>
      <c r="C6" s="10">
        <f>Hoja1!E83</f>
        <v>0.61818181818181817</v>
      </c>
      <c r="D6" s="10">
        <f>Hoja1!F83</f>
        <v>0.70909090909090911</v>
      </c>
      <c r="E6" s="10">
        <f>Hoja1!G83</f>
        <v>0.80909090909090908</v>
      </c>
      <c r="F6" s="10">
        <f>Hoja1!H83</f>
        <v>0.91818181818181821</v>
      </c>
      <c r="G6" s="10">
        <f>Hoja1!I83</f>
        <v>1</v>
      </c>
      <c r="H6" s="387"/>
      <c r="I6" s="124"/>
    </row>
    <row r="7" spans="1:10" x14ac:dyDescent="0.2">
      <c r="A7" s="23" t="s">
        <v>136</v>
      </c>
      <c r="I7" s="15"/>
    </row>
    <row r="8" spans="1:10" x14ac:dyDescent="0.2">
      <c r="A8" s="23" t="s">
        <v>277</v>
      </c>
      <c r="B8" s="5">
        <f>Hoja1!B138</f>
        <v>5000000</v>
      </c>
      <c r="C8" s="5"/>
      <c r="D8" s="5"/>
      <c r="E8" s="5"/>
      <c r="F8" s="5"/>
      <c r="G8" s="5"/>
      <c r="H8" s="5"/>
      <c r="I8" s="15"/>
    </row>
    <row r="9" spans="1:10" x14ac:dyDescent="0.2">
      <c r="A9" s="23" t="s">
        <v>278</v>
      </c>
      <c r="B9" s="5"/>
      <c r="C9" s="5">
        <f>Hoja1!C28</f>
        <v>147605000</v>
      </c>
      <c r="D9" s="5">
        <f>Hoja1!D28</f>
        <v>169340000</v>
      </c>
      <c r="E9" s="5">
        <f>Hoja1!E28</f>
        <v>192730000</v>
      </c>
      <c r="F9" s="5">
        <f>Hoja1!F28</f>
        <v>218390000</v>
      </c>
      <c r="G9" s="5">
        <f>Hoja1!G28</f>
        <v>237855000</v>
      </c>
      <c r="H9" s="5"/>
      <c r="I9" s="36"/>
    </row>
    <row r="10" spans="1:10" x14ac:dyDescent="0.2">
      <c r="A10" s="23" t="s">
        <v>279</v>
      </c>
      <c r="B10" s="5"/>
      <c r="C10" s="5">
        <v>0</v>
      </c>
      <c r="D10" s="5">
        <v>0</v>
      </c>
      <c r="E10" s="5">
        <v>0</v>
      </c>
      <c r="F10" s="5">
        <v>0</v>
      </c>
      <c r="G10" s="5">
        <v>0</v>
      </c>
      <c r="H10" s="5"/>
      <c r="I10" s="33"/>
    </row>
    <row r="11" spans="1:10" x14ac:dyDescent="0.2">
      <c r="A11" s="23" t="s">
        <v>280</v>
      </c>
      <c r="B11" s="5"/>
      <c r="C11" s="5"/>
      <c r="D11" s="5"/>
      <c r="E11" s="5"/>
      <c r="F11" s="5"/>
      <c r="G11" s="5"/>
      <c r="H11" s="5">
        <f>Hoja7!H20</f>
        <v>28257613.087664668</v>
      </c>
      <c r="I11" s="15"/>
    </row>
    <row r="12" spans="1:10" ht="21.75" customHeight="1" x14ac:dyDescent="0.2">
      <c r="A12" s="24" t="s">
        <v>142</v>
      </c>
      <c r="B12" s="286">
        <f>B8+B9+B10+B11</f>
        <v>5000000</v>
      </c>
      <c r="C12" s="286">
        <f t="shared" ref="C12:G12" si="0">C8+C9+C10+C11</f>
        <v>147605000</v>
      </c>
      <c r="D12" s="286">
        <f t="shared" si="0"/>
        <v>169340000</v>
      </c>
      <c r="E12" s="286">
        <f t="shared" si="0"/>
        <v>192730000</v>
      </c>
      <c r="F12" s="286">
        <f t="shared" si="0"/>
        <v>218390000</v>
      </c>
      <c r="G12" s="286">
        <f t="shared" si="0"/>
        <v>237855000</v>
      </c>
      <c r="H12" s="286">
        <f>H8+H9+H10+H11</f>
        <v>28257613.087664668</v>
      </c>
      <c r="I12" s="285"/>
    </row>
    <row r="13" spans="1:10" ht="19.5" customHeight="1" x14ac:dyDescent="0.2">
      <c r="A13" s="23" t="s">
        <v>143</v>
      </c>
    </row>
    <row r="14" spans="1:10" x14ac:dyDescent="0.2">
      <c r="A14" s="23" t="s">
        <v>281</v>
      </c>
      <c r="B14" s="5">
        <f>Hoja4!B17</f>
        <v>20299022</v>
      </c>
      <c r="C14" s="5">
        <f>Hoja4!C17</f>
        <v>21018389.002214663</v>
      </c>
      <c r="D14" s="5">
        <f>Hoja4!D17</f>
        <v>824911.64345000684</v>
      </c>
      <c r="E14" s="5">
        <f>Hoja4!E17</f>
        <v>1123875.4330499992</v>
      </c>
      <c r="F14" s="5">
        <f>Hoja4!F17</f>
        <v>1197664.2569500022</v>
      </c>
      <c r="G14" s="5">
        <f>Hoja4!G17</f>
        <v>1206211.7519999966</v>
      </c>
      <c r="H14" s="5">
        <f>Hoja4!H17</f>
        <v>0</v>
      </c>
      <c r="I14" s="33"/>
    </row>
    <row r="15" spans="1:10" ht="30" x14ac:dyDescent="0.2">
      <c r="A15" s="23" t="s">
        <v>282</v>
      </c>
      <c r="B15" s="5"/>
      <c r="C15" s="5">
        <f>Hoja3!C109</f>
        <v>134465656.63545603</v>
      </c>
      <c r="D15" s="5">
        <f>Hoja3!D109</f>
        <v>139660407.59345603</v>
      </c>
      <c r="E15" s="5">
        <f>Hoja3!E109</f>
        <v>147199605.49545601</v>
      </c>
      <c r="F15" s="5">
        <f>Hoja3!F109</f>
        <v>155291047.19345602</v>
      </c>
      <c r="G15" s="5">
        <f>Hoja3!G109</f>
        <v>163405278.87345603</v>
      </c>
      <c r="H15" s="5">
        <f>Hoja3!H109</f>
        <v>0</v>
      </c>
      <c r="I15" s="33"/>
    </row>
    <row r="16" spans="1:10" x14ac:dyDescent="0.2">
      <c r="A16" s="23" t="s">
        <v>283</v>
      </c>
      <c r="B16" s="5"/>
      <c r="C16" s="5">
        <f>Hoja1!C135</f>
        <v>1050000</v>
      </c>
      <c r="D16" s="5">
        <f>Hoja1!D135</f>
        <v>911646.40428406186</v>
      </c>
      <c r="E16" s="5">
        <f>Hoja1!E135</f>
        <v>744238.55346777674</v>
      </c>
      <c r="F16" s="5">
        <f>Hoja1!F135</f>
        <v>541675.0539800718</v>
      </c>
      <c r="G16" s="5">
        <f>Hoja1!G135</f>
        <v>296573.21959994885</v>
      </c>
      <c r="H16" s="5">
        <f>Hoja1!J135</f>
        <v>0</v>
      </c>
      <c r="I16" s="15"/>
    </row>
    <row r="17" spans="1:9" x14ac:dyDescent="0.2">
      <c r="A17" s="23" t="s">
        <v>284</v>
      </c>
      <c r="B17" s="5"/>
      <c r="C17" s="5">
        <f>Hoja1!C136</f>
        <v>658826.64626637171</v>
      </c>
      <c r="D17" s="5">
        <f>Hoja1!D136</f>
        <v>797180.24198230985</v>
      </c>
      <c r="E17" s="5">
        <f>Hoja1!E136</f>
        <v>964588.09279859497</v>
      </c>
      <c r="F17" s="5">
        <f>Hoja1!F136</f>
        <v>1167151.5922862999</v>
      </c>
      <c r="G17" s="5">
        <f>Hoja1!G136</f>
        <v>1412253.4266664227</v>
      </c>
      <c r="H17" s="5">
        <f>Hoja1!H136</f>
        <v>0</v>
      </c>
      <c r="I17" s="21"/>
    </row>
    <row r="18" spans="1:9" x14ac:dyDescent="0.2">
      <c r="A18" s="23" t="s">
        <v>285</v>
      </c>
      <c r="B18" s="5"/>
      <c r="C18" s="5">
        <f>Hoja6!C34</f>
        <v>3012397.9075903948</v>
      </c>
      <c r="D18" s="5">
        <f>Hoja6!D34</f>
        <v>8849908.8307909723</v>
      </c>
      <c r="E18" s="5">
        <f>Hoja6!E34</f>
        <v>14456282.312876677</v>
      </c>
      <c r="F18" s="5">
        <f>Hoja6!F34</f>
        <v>20676174.943397369</v>
      </c>
      <c r="G18" s="5">
        <f>Hoja6!G34</f>
        <v>24734729.49743041</v>
      </c>
      <c r="H18" s="5">
        <f>Hoja6!H34</f>
        <v>0</v>
      </c>
      <c r="I18" s="15"/>
    </row>
    <row r="19" spans="1:9" ht="27" customHeight="1" x14ac:dyDescent="0.2">
      <c r="A19" s="24" t="s">
        <v>151</v>
      </c>
      <c r="B19" s="96">
        <f>B14+B15+B16+B17+B18</f>
        <v>20299022</v>
      </c>
      <c r="C19" s="96">
        <f t="shared" ref="C19:H19" si="1">C14+C15+C16+C17+C18</f>
        <v>160205270.19152746</v>
      </c>
      <c r="D19" s="96">
        <f t="shared" si="1"/>
        <v>151044054.71396339</v>
      </c>
      <c r="E19" s="96">
        <f t="shared" si="1"/>
        <v>164488589.88764906</v>
      </c>
      <c r="F19" s="96">
        <f t="shared" si="1"/>
        <v>178873713.04006976</v>
      </c>
      <c r="G19" s="96">
        <f t="shared" si="1"/>
        <v>191055046.76915282</v>
      </c>
      <c r="H19" s="96">
        <f t="shared" si="1"/>
        <v>0</v>
      </c>
      <c r="I19" s="33"/>
    </row>
    <row r="20" spans="1:9" ht="27" customHeight="1" x14ac:dyDescent="0.2">
      <c r="A20" s="24" t="s">
        <v>152</v>
      </c>
      <c r="B20" s="96">
        <f>B12-B19</f>
        <v>-15299022</v>
      </c>
      <c r="C20" s="96">
        <f t="shared" ref="C20:H20" si="2">C12-C19</f>
        <v>-12600270.191527456</v>
      </c>
      <c r="D20" s="96">
        <f t="shared" si="2"/>
        <v>18295945.286036611</v>
      </c>
      <c r="E20" s="96">
        <f t="shared" si="2"/>
        <v>28241410.112350941</v>
      </c>
      <c r="F20" s="96">
        <f t="shared" si="2"/>
        <v>39516286.959930241</v>
      </c>
      <c r="G20" s="96">
        <f t="shared" si="2"/>
        <v>46799953.23084718</v>
      </c>
      <c r="H20" s="96">
        <f t="shared" si="2"/>
        <v>28257613.087664668</v>
      </c>
      <c r="I20" s="33"/>
    </row>
    <row r="21" spans="1:9" ht="24.75" customHeight="1" x14ac:dyDescent="0.2">
      <c r="A21" s="24" t="s">
        <v>276</v>
      </c>
      <c r="B21" s="96">
        <f>B20</f>
        <v>-15299022</v>
      </c>
      <c r="C21" s="96">
        <f t="shared" ref="C21:F21" si="3">C20</f>
        <v>-12600270.191527456</v>
      </c>
      <c r="D21" s="96">
        <f t="shared" si="3"/>
        <v>18295945.286036611</v>
      </c>
      <c r="E21" s="96">
        <f t="shared" si="3"/>
        <v>28241410.112350941</v>
      </c>
      <c r="F21" s="96">
        <f t="shared" si="3"/>
        <v>39516286.959930241</v>
      </c>
      <c r="G21" s="96">
        <f>G20+H20</f>
        <v>75057566.318511844</v>
      </c>
      <c r="H21" s="96"/>
      <c r="I21" s="33"/>
    </row>
    <row r="22" spans="1:9" x14ac:dyDescent="0.2">
      <c r="A22" s="27"/>
    </row>
    <row r="23" spans="1:9" x14ac:dyDescent="0.2">
      <c r="A23" s="27"/>
      <c r="B23" s="121"/>
    </row>
    <row r="24" spans="1:9" x14ac:dyDescent="0.2">
      <c r="A24" s="27"/>
    </row>
    <row r="25" spans="1:9" x14ac:dyDescent="0.2">
      <c r="A25" s="15"/>
      <c r="B25" s="124"/>
      <c r="C25" s="72"/>
      <c r="D25" s="72"/>
      <c r="E25" s="72"/>
      <c r="F25" s="72"/>
      <c r="G25" s="72"/>
      <c r="H25" s="15"/>
    </row>
    <row r="26" spans="1:9" ht="23.25" x14ac:dyDescent="0.35">
      <c r="A26" s="455" t="s">
        <v>333</v>
      </c>
      <c r="B26" s="455"/>
      <c r="C26" s="455"/>
      <c r="D26" s="455"/>
      <c r="E26" s="455"/>
      <c r="F26" s="455"/>
      <c r="G26" s="72"/>
      <c r="H26" s="15"/>
    </row>
    <row r="27" spans="1:9" ht="25.5" x14ac:dyDescent="0.2">
      <c r="A27" s="125" t="s">
        <v>289</v>
      </c>
      <c r="B27" s="126" t="s">
        <v>16</v>
      </c>
      <c r="C27" s="127" t="s">
        <v>290</v>
      </c>
      <c r="D27" s="128" t="s">
        <v>291</v>
      </c>
      <c r="E27" s="129" t="s">
        <v>292</v>
      </c>
      <c r="F27" s="128" t="s">
        <v>293</v>
      </c>
      <c r="G27" s="72"/>
      <c r="H27" s="15"/>
    </row>
    <row r="28" spans="1:9" x14ac:dyDescent="0.2">
      <c r="A28" s="15" t="s">
        <v>294</v>
      </c>
      <c r="B28" s="36">
        <f>B20*-1</f>
        <v>15299022</v>
      </c>
      <c r="C28" s="130">
        <f>B28/$B$30</f>
        <v>0.75368271436919476</v>
      </c>
      <c r="D28" s="74">
        <v>0.1</v>
      </c>
      <c r="E28" s="124">
        <v>0.05</v>
      </c>
      <c r="F28" s="130">
        <f>E28*C28</f>
        <v>3.7684135718459744E-2</v>
      </c>
      <c r="G28" s="72"/>
      <c r="H28" s="15"/>
    </row>
    <row r="29" spans="1:9" x14ac:dyDescent="0.2">
      <c r="A29" s="73" t="s">
        <v>295</v>
      </c>
      <c r="B29" s="36">
        <f>Hoja1!B138</f>
        <v>5000000</v>
      </c>
      <c r="C29" s="130">
        <f>B29/$B$30</f>
        <v>0.24631728563080527</v>
      </c>
      <c r="D29" s="74">
        <v>0.21</v>
      </c>
      <c r="E29" s="131">
        <f>D29*(1-0.35)</f>
        <v>0.13650000000000001</v>
      </c>
      <c r="F29" s="130">
        <f>E29*C29</f>
        <v>3.3622309488604923E-2</v>
      </c>
      <c r="G29" s="72"/>
      <c r="H29" s="15"/>
    </row>
    <row r="30" spans="1:9" x14ac:dyDescent="0.2">
      <c r="A30" s="132" t="s">
        <v>296</v>
      </c>
      <c r="B30" s="34">
        <f>SUM(B28:B29)</f>
        <v>20299022</v>
      </c>
      <c r="C30" s="150">
        <f>SUM(C28:C29)</f>
        <v>1</v>
      </c>
      <c r="D30" s="7"/>
      <c r="E30" s="96" t="s">
        <v>15</v>
      </c>
      <c r="F30" s="133">
        <f>SUM(F28:F29)</f>
        <v>7.1306445207064667E-2</v>
      </c>
      <c r="G30" s="72"/>
      <c r="H30" s="15"/>
    </row>
    <row r="31" spans="1:9" x14ac:dyDescent="0.2">
      <c r="A31" s="15"/>
      <c r="B31" s="15"/>
      <c r="C31" s="72"/>
      <c r="D31" s="15"/>
      <c r="E31" s="96" t="s">
        <v>297</v>
      </c>
      <c r="F31" s="133">
        <v>0.1</v>
      </c>
      <c r="G31" s="72"/>
      <c r="H31" s="15"/>
    </row>
    <row r="32" spans="1:9" x14ac:dyDescent="0.2">
      <c r="A32" s="15"/>
      <c r="B32" s="15"/>
      <c r="C32" s="15"/>
      <c r="D32" s="15"/>
      <c r="E32" s="6" t="s">
        <v>298</v>
      </c>
      <c r="F32" s="134">
        <f>F30+F31</f>
        <v>0.17130644520706467</v>
      </c>
      <c r="G32" s="15"/>
      <c r="H32" s="15"/>
    </row>
    <row r="33" spans="1:10" x14ac:dyDescent="0.2">
      <c r="A33" s="8" t="s">
        <v>327</v>
      </c>
      <c r="C33" s="151">
        <f>((1+F32)/(1.065))-1</f>
        <v>9.9818258410389493E-2</v>
      </c>
    </row>
    <row r="37" spans="1:10" x14ac:dyDescent="0.2">
      <c r="A37" s="454" t="s">
        <v>299</v>
      </c>
      <c r="B37" s="454"/>
      <c r="C37" s="454"/>
      <c r="D37" s="454"/>
      <c r="E37" s="454"/>
      <c r="F37" s="454"/>
      <c r="G37" s="454"/>
      <c r="H37" s="454"/>
    </row>
    <row r="38" spans="1:10" x14ac:dyDescent="0.2">
      <c r="A38" s="7" t="s">
        <v>1</v>
      </c>
      <c r="B38" s="155" t="s">
        <v>2</v>
      </c>
      <c r="C38" s="155" t="s">
        <v>3</v>
      </c>
      <c r="D38" s="155"/>
      <c r="E38" s="155"/>
      <c r="F38" s="155"/>
      <c r="G38" s="155"/>
      <c r="H38" s="385" t="s">
        <v>140</v>
      </c>
      <c r="I38" s="15"/>
    </row>
    <row r="39" spans="1:10" x14ac:dyDescent="0.2">
      <c r="A39" s="9" t="s">
        <v>6</v>
      </c>
      <c r="B39" s="61">
        <v>1</v>
      </c>
      <c r="C39" s="61">
        <v>2</v>
      </c>
      <c r="D39" s="26">
        <v>3</v>
      </c>
      <c r="E39" s="61">
        <v>4</v>
      </c>
      <c r="F39" s="61">
        <v>5</v>
      </c>
      <c r="G39" s="61">
        <v>6</v>
      </c>
      <c r="H39" s="386"/>
      <c r="I39" s="153"/>
    </row>
    <row r="40" spans="1:10" x14ac:dyDescent="0.2">
      <c r="A40" s="6" t="s">
        <v>4</v>
      </c>
      <c r="B40" s="6"/>
      <c r="C40" s="6"/>
      <c r="D40" s="10">
        <v>0.6</v>
      </c>
      <c r="E40" s="10">
        <v>0.8</v>
      </c>
      <c r="F40" s="10">
        <v>1</v>
      </c>
      <c r="G40" s="10">
        <v>1</v>
      </c>
      <c r="H40" s="387"/>
      <c r="I40" s="124"/>
    </row>
    <row r="41" spans="1:10" x14ac:dyDescent="0.2">
      <c r="A41" s="8" t="s">
        <v>288</v>
      </c>
      <c r="B41" s="72">
        <f>B21</f>
        <v>-15299022</v>
      </c>
      <c r="C41" s="72">
        <f t="shared" ref="C41:G41" si="4">C21</f>
        <v>-12600270.191527456</v>
      </c>
      <c r="D41" s="72">
        <f t="shared" si="4"/>
        <v>18295945.286036611</v>
      </c>
      <c r="E41" s="72">
        <f t="shared" si="4"/>
        <v>28241410.112350941</v>
      </c>
      <c r="F41" s="72">
        <f t="shared" si="4"/>
        <v>39516286.959930241</v>
      </c>
      <c r="G41" s="72">
        <f t="shared" si="4"/>
        <v>75057566.318511844</v>
      </c>
      <c r="H41" s="72">
        <f>H21</f>
        <v>0</v>
      </c>
      <c r="I41" s="33"/>
    </row>
    <row r="42" spans="1:10" x14ac:dyDescent="0.2">
      <c r="A42" s="8" t="s">
        <v>328</v>
      </c>
      <c r="B42" s="130">
        <f>C33</f>
        <v>9.9818258410389493E-2</v>
      </c>
      <c r="C42" s="15"/>
      <c r="D42" s="124"/>
      <c r="E42" s="124"/>
      <c r="F42" s="124"/>
      <c r="G42" s="124"/>
      <c r="H42" s="124"/>
      <c r="I42" s="124"/>
      <c r="J42" s="62"/>
    </row>
    <row r="43" spans="1:10" x14ac:dyDescent="0.2">
      <c r="A43" s="135" t="s">
        <v>302</v>
      </c>
      <c r="B43" s="72">
        <f>NPV(B42,C41:H41)+B41</f>
        <v>83249980.478331149</v>
      </c>
      <c r="C43" s="15"/>
      <c r="D43" s="15"/>
      <c r="E43" s="15"/>
      <c r="F43" s="15"/>
      <c r="G43" s="15"/>
      <c r="H43" s="15"/>
    </row>
    <row r="44" spans="1:10" x14ac:dyDescent="0.2">
      <c r="A44" s="135" t="s">
        <v>303</v>
      </c>
      <c r="B44" s="130">
        <f>IRR(B41:I41)</f>
        <v>0.68495420508231764</v>
      </c>
      <c r="C44" s="15"/>
      <c r="D44" s="15"/>
      <c r="E44" s="15"/>
      <c r="F44" s="15"/>
      <c r="G44" s="15"/>
      <c r="H44" s="15"/>
    </row>
    <row r="45" spans="1:10" x14ac:dyDescent="0.2">
      <c r="A45" s="136" t="s">
        <v>304</v>
      </c>
      <c r="B45" s="137"/>
      <c r="C45" s="15"/>
      <c r="D45" s="15"/>
      <c r="E45" s="15"/>
      <c r="F45" s="15"/>
      <c r="G45" s="15"/>
      <c r="H45" s="15"/>
    </row>
    <row r="46" spans="1:10" x14ac:dyDescent="0.2">
      <c r="A46" s="135" t="s">
        <v>305</v>
      </c>
      <c r="B46" s="138">
        <f>NPV(B42,E41:I41)</f>
        <v>114766955.19016136</v>
      </c>
      <c r="C46" s="15"/>
      <c r="D46" s="15"/>
      <c r="E46" s="15"/>
      <c r="F46" s="15"/>
      <c r="G46" s="15"/>
      <c r="H46" s="15"/>
    </row>
    <row r="47" spans="1:10" x14ac:dyDescent="0.2">
      <c r="A47" s="135" t="s">
        <v>306</v>
      </c>
      <c r="B47" s="72">
        <f>(NPV(B42,C41:D41)+B41)*-1</f>
        <v>11630092.329794444</v>
      </c>
      <c r="C47" s="15"/>
      <c r="D47" s="15"/>
      <c r="E47" s="15"/>
      <c r="F47" s="15"/>
      <c r="G47" s="15"/>
      <c r="H47" s="15"/>
    </row>
    <row r="48" spans="1:10" x14ac:dyDescent="0.2">
      <c r="A48" s="135" t="s">
        <v>307</v>
      </c>
      <c r="B48" s="33">
        <f>(B46/B47)-1</f>
        <v>8.8681035314007524</v>
      </c>
      <c r="C48" s="15"/>
      <c r="D48" s="15"/>
      <c r="E48" s="15"/>
      <c r="F48" s="15"/>
      <c r="G48" s="15"/>
      <c r="H48" s="15"/>
    </row>
    <row r="49" spans="1:8" x14ac:dyDescent="0.2">
      <c r="A49" s="135" t="s">
        <v>308</v>
      </c>
      <c r="B49" s="298">
        <f>PMT(B42,5,-B43)</f>
        <v>21950939.768034395</v>
      </c>
      <c r="C49" s="15"/>
      <c r="D49" s="15"/>
      <c r="E49" s="15"/>
      <c r="F49" s="15"/>
      <c r="G49" s="15"/>
      <c r="H49" s="15"/>
    </row>
    <row r="50" spans="1:8" x14ac:dyDescent="0.2">
      <c r="A50" s="139" t="s">
        <v>309</v>
      </c>
      <c r="B50" s="298">
        <f>FV(B42,5,-B49)</f>
        <v>133964203.60693325</v>
      </c>
      <c r="C50" s="15"/>
      <c r="D50" s="15"/>
      <c r="E50" s="15"/>
      <c r="F50" s="15"/>
      <c r="G50" s="15"/>
      <c r="H50" s="15"/>
    </row>
    <row r="51" spans="1:8" x14ac:dyDescent="0.2">
      <c r="A51" s="140" t="s">
        <v>310</v>
      </c>
      <c r="B51" s="137"/>
      <c r="C51" s="15"/>
      <c r="D51" s="15"/>
      <c r="E51" s="15"/>
      <c r="F51" s="15"/>
      <c r="G51" s="15"/>
      <c r="H51" s="15"/>
    </row>
    <row r="52" spans="1:8" x14ac:dyDescent="0.2">
      <c r="A52" s="94" t="s">
        <v>311</v>
      </c>
      <c r="B52" s="298">
        <f>PMT(B42,5,-B46)</f>
        <v>30261178.516380068</v>
      </c>
      <c r="C52" s="15"/>
      <c r="D52" s="15"/>
      <c r="E52" s="15"/>
      <c r="F52" s="15"/>
      <c r="G52" s="15"/>
      <c r="H52" s="15"/>
    </row>
    <row r="53" spans="1:8" ht="19.5" x14ac:dyDescent="0.35">
      <c r="A53" s="94" t="s">
        <v>312</v>
      </c>
      <c r="B53" s="298">
        <f>FV(B40,5,-B52)</f>
        <v>151305892.58190033</v>
      </c>
      <c r="C53" s="15"/>
      <c r="D53" s="15"/>
      <c r="E53" s="15"/>
      <c r="F53" s="15"/>
      <c r="G53" s="15"/>
      <c r="H53" s="15"/>
    </row>
    <row r="54" spans="1:8" x14ac:dyDescent="0.2">
      <c r="A54" s="141" t="s">
        <v>310</v>
      </c>
      <c r="B54" s="142"/>
      <c r="C54" s="142"/>
      <c r="D54" s="142"/>
      <c r="E54" s="142"/>
      <c r="F54" s="142"/>
      <c r="G54" s="142"/>
      <c r="H54" s="142"/>
    </row>
    <row r="55" spans="1:8" x14ac:dyDescent="0.2">
      <c r="A55" s="122" t="s">
        <v>313</v>
      </c>
      <c r="B55" s="143" t="s">
        <v>301</v>
      </c>
      <c r="C55" s="132" t="s">
        <v>201</v>
      </c>
      <c r="D55" s="132" t="s">
        <v>202</v>
      </c>
      <c r="E55" s="132" t="s">
        <v>203</v>
      </c>
      <c r="F55" s="144" t="s">
        <v>204</v>
      </c>
      <c r="G55" s="144" t="s">
        <v>205</v>
      </c>
      <c r="H55" s="7"/>
    </row>
    <row r="56" spans="1:8" x14ac:dyDescent="0.2">
      <c r="A56" s="122" t="s">
        <v>16</v>
      </c>
      <c r="B56" s="145">
        <f>B47*-1</f>
        <v>-11630092.329794444</v>
      </c>
      <c r="C56" s="7">
        <v>0</v>
      </c>
      <c r="D56" s="7">
        <v>0</v>
      </c>
      <c r="E56" s="7">
        <v>0</v>
      </c>
      <c r="F56" s="7">
        <v>0</v>
      </c>
      <c r="G56" s="146">
        <f>B53</f>
        <v>151305892.58190033</v>
      </c>
      <c r="H56" s="7"/>
    </row>
    <row r="57" spans="1:8" x14ac:dyDescent="0.2">
      <c r="A57" s="122" t="s">
        <v>314</v>
      </c>
      <c r="B57" s="133">
        <f>IRR(B56:G56)</f>
        <v>0.67053098701817326</v>
      </c>
      <c r="C57" s="7"/>
      <c r="D57" s="7"/>
      <c r="E57" s="7"/>
      <c r="F57" s="7"/>
      <c r="G57" s="7"/>
      <c r="H57" s="7"/>
    </row>
    <row r="58" spans="1:8" x14ac:dyDescent="0.2">
      <c r="A58" s="94"/>
      <c r="B58" s="124"/>
      <c r="C58" s="15"/>
      <c r="D58" s="15"/>
      <c r="E58" s="15"/>
      <c r="F58" s="15"/>
      <c r="G58" s="15"/>
      <c r="H58" s="15"/>
    </row>
    <row r="59" spans="1:8" x14ac:dyDescent="0.2">
      <c r="A59" s="94"/>
      <c r="B59" s="124"/>
      <c r="C59" s="15"/>
      <c r="D59" s="15"/>
      <c r="E59" s="15"/>
      <c r="F59" s="15"/>
      <c r="G59" s="15"/>
      <c r="H59" s="15"/>
    </row>
    <row r="60" spans="1:8" ht="18" x14ac:dyDescent="0.2">
      <c r="A60" s="15"/>
      <c r="B60" s="453" t="s">
        <v>315</v>
      </c>
      <c r="C60" s="453"/>
      <c r="D60" s="453"/>
      <c r="E60" s="453"/>
      <c r="F60" s="453"/>
      <c r="G60" s="453"/>
      <c r="H60" s="15"/>
    </row>
    <row r="61" spans="1:8" ht="38.25" x14ac:dyDescent="0.2">
      <c r="A61" s="15"/>
      <c r="B61" s="129" t="s">
        <v>316</v>
      </c>
      <c r="C61" s="129" t="s">
        <v>317</v>
      </c>
      <c r="D61" s="129" t="s">
        <v>318</v>
      </c>
      <c r="E61" s="147" t="s">
        <v>319</v>
      </c>
      <c r="F61" s="147" t="s">
        <v>320</v>
      </c>
      <c r="G61" s="147" t="s">
        <v>321</v>
      </c>
      <c r="H61" s="62"/>
    </row>
    <row r="62" spans="1:8" x14ac:dyDescent="0.2">
      <c r="A62" s="15"/>
      <c r="B62" s="148" t="s">
        <v>322</v>
      </c>
      <c r="C62" s="72">
        <f>B41*-1</f>
        <v>15299022</v>
      </c>
      <c r="D62" s="72">
        <f>C62*B44</f>
        <v>10479129.452546889</v>
      </c>
      <c r="E62" s="72">
        <f>+C62+D62</f>
        <v>25778151.452546887</v>
      </c>
      <c r="F62" s="72">
        <f>C41</f>
        <v>-12600270.191527456</v>
      </c>
      <c r="G62" s="72">
        <f t="shared" ref="G62:G67" si="5">E62-F62</f>
        <v>38378421.644074343</v>
      </c>
      <c r="H62" s="15"/>
    </row>
    <row r="63" spans="1:8" x14ac:dyDescent="0.2">
      <c r="A63" s="15"/>
      <c r="B63" s="148" t="s">
        <v>323</v>
      </c>
      <c r="C63" s="72">
        <f>G62</f>
        <v>38378421.644074343</v>
      </c>
      <c r="D63" s="72">
        <f>C63*B44</f>
        <v>26287461.289530955</v>
      </c>
      <c r="E63" s="72">
        <f>+C63+D63</f>
        <v>64665882.933605298</v>
      </c>
      <c r="F63" s="72">
        <f>D41</f>
        <v>18295945.286036611</v>
      </c>
      <c r="G63" s="72">
        <f t="shared" si="5"/>
        <v>46369937.647568688</v>
      </c>
      <c r="H63" s="15"/>
    </row>
    <row r="64" spans="1:8" x14ac:dyDescent="0.2">
      <c r="A64" s="15"/>
      <c r="B64" s="148" t="s">
        <v>324</v>
      </c>
      <c r="C64" s="72">
        <f>G63</f>
        <v>46369937.647568688</v>
      </c>
      <c r="D64" s="72">
        <f>C64*B44</f>
        <v>31761283.781107046</v>
      </c>
      <c r="E64" s="72">
        <f>+C64+D64</f>
        <v>78131221.428675741</v>
      </c>
      <c r="F64" s="72">
        <f>E41</f>
        <v>28241410.112350941</v>
      </c>
      <c r="G64" s="72">
        <f t="shared" si="5"/>
        <v>49889811.3163248</v>
      </c>
      <c r="H64" s="15"/>
    </row>
    <row r="65" spans="1:11" x14ac:dyDescent="0.2">
      <c r="A65" s="15"/>
      <c r="B65" s="148" t="s">
        <v>325</v>
      </c>
      <c r="C65" s="72">
        <f>G64</f>
        <v>49889811.3163248</v>
      </c>
      <c r="D65" s="72">
        <f>C65*B44</f>
        <v>34172236.051880069</v>
      </c>
      <c r="E65" s="72">
        <f>+C65+D65</f>
        <v>84062047.368204862</v>
      </c>
      <c r="F65" s="72">
        <f>F41</f>
        <v>39516286.959930241</v>
      </c>
      <c r="G65" s="72">
        <f t="shared" si="5"/>
        <v>44545760.408274621</v>
      </c>
      <c r="H65" s="15"/>
    </row>
    <row r="66" spans="1:11" x14ac:dyDescent="0.2">
      <c r="A66" s="15"/>
      <c r="B66" s="148" t="s">
        <v>326</v>
      </c>
      <c r="C66" s="72">
        <f>G65</f>
        <v>44545760.408274621</v>
      </c>
      <c r="D66" s="72">
        <f>C66*B44</f>
        <v>30511805.910237119</v>
      </c>
      <c r="E66" s="72">
        <f>+C66+D66</f>
        <v>75057566.318511739</v>
      </c>
      <c r="F66" s="72">
        <f>G41</f>
        <v>75057566.318511844</v>
      </c>
      <c r="G66" s="72">
        <f t="shared" si="5"/>
        <v>0</v>
      </c>
      <c r="H66" s="15"/>
    </row>
    <row r="67" spans="1:11" x14ac:dyDescent="0.2">
      <c r="A67" s="15"/>
      <c r="B67" s="299" t="s">
        <v>329</v>
      </c>
      <c r="C67" s="149">
        <f>G66</f>
        <v>0</v>
      </c>
      <c r="D67" s="149">
        <f>C67*B44</f>
        <v>0</v>
      </c>
      <c r="E67" s="149">
        <f>C67+D67</f>
        <v>0</v>
      </c>
      <c r="F67" s="149">
        <f>H41</f>
        <v>0</v>
      </c>
      <c r="G67" s="149">
        <f t="shared" si="5"/>
        <v>0</v>
      </c>
      <c r="H67" s="15"/>
    </row>
    <row r="69" spans="1:11" x14ac:dyDescent="0.2">
      <c r="D69" s="420" t="s">
        <v>330</v>
      </c>
      <c r="E69" s="420"/>
      <c r="K69" s="5">
        <v>0</v>
      </c>
    </row>
    <row r="70" spans="1:11" x14ac:dyDescent="0.2">
      <c r="D70" s="301" t="s">
        <v>331</v>
      </c>
      <c r="E70" s="301" t="s">
        <v>332</v>
      </c>
      <c r="J70" t="s">
        <v>571</v>
      </c>
      <c r="K70" s="341">
        <f>1-(K69/100)</f>
        <v>1</v>
      </c>
    </row>
    <row r="71" spans="1:11" x14ac:dyDescent="0.2">
      <c r="D71" s="2">
        <v>0</v>
      </c>
      <c r="E71" s="5">
        <f t="shared" ref="E71:E134" si="6">NPV(D71,$C$41:$I$41)+$B$41</f>
        <v>133211916.48530218</v>
      </c>
    </row>
    <row r="72" spans="1:11" x14ac:dyDescent="0.2">
      <c r="D72" s="2">
        <v>0.01</v>
      </c>
      <c r="E72" s="5">
        <f t="shared" si="6"/>
        <v>126960814.26435015</v>
      </c>
    </row>
    <row r="73" spans="1:11" x14ac:dyDescent="0.2">
      <c r="D73" s="2">
        <v>0.02</v>
      </c>
      <c r="E73" s="5">
        <f t="shared" si="6"/>
        <v>121034666.15703386</v>
      </c>
    </row>
    <row r="74" spans="1:11" x14ac:dyDescent="0.2">
      <c r="D74" s="2">
        <v>0.03</v>
      </c>
      <c r="E74" s="5">
        <f t="shared" si="6"/>
        <v>115413305.24889679</v>
      </c>
    </row>
    <row r="75" spans="1:11" x14ac:dyDescent="0.2">
      <c r="D75" s="2">
        <v>0.04</v>
      </c>
      <c r="E75" s="5">
        <f t="shared" si="6"/>
        <v>110078010.25777395</v>
      </c>
    </row>
    <row r="76" spans="1:11" x14ac:dyDescent="0.2">
      <c r="D76" s="2">
        <v>0.05</v>
      </c>
      <c r="E76" s="5">
        <f t="shared" si="6"/>
        <v>105011388.55453882</v>
      </c>
    </row>
    <row r="77" spans="1:11" x14ac:dyDescent="0.2">
      <c r="D77" s="2">
        <v>0.06</v>
      </c>
      <c r="E77" s="5">
        <f t="shared" si="6"/>
        <v>100197269.6937236</v>
      </c>
    </row>
    <row r="78" spans="1:11" x14ac:dyDescent="0.2">
      <c r="D78" s="2">
        <v>7.0000000000000007E-2</v>
      </c>
      <c r="E78" s="5">
        <f t="shared" si="6"/>
        <v>95620608.418686986</v>
      </c>
    </row>
    <row r="79" spans="1:11" x14ac:dyDescent="0.2">
      <c r="D79" s="2">
        <v>0.08</v>
      </c>
      <c r="E79" s="5">
        <f t="shared" si="6"/>
        <v>91267396.216732576</v>
      </c>
    </row>
    <row r="80" spans="1:11" x14ac:dyDescent="0.2">
      <c r="D80" s="2">
        <v>0.09</v>
      </c>
      <c r="E80" s="5">
        <f t="shared" si="6"/>
        <v>87124580.597557157</v>
      </c>
    </row>
    <row r="81" spans="4:13" x14ac:dyDescent="0.2">
      <c r="D81" s="2">
        <v>0.1</v>
      </c>
      <c r="E81" s="5">
        <f t="shared" si="6"/>
        <v>83179991.355197459</v>
      </c>
    </row>
    <row r="82" spans="4:13" x14ac:dyDescent="0.2">
      <c r="D82" s="2">
        <v>0.11</v>
      </c>
      <c r="E82" s="5">
        <f t="shared" si="6"/>
        <v>79422273.150620192</v>
      </c>
    </row>
    <row r="83" spans="4:13" x14ac:dyDescent="0.2">
      <c r="D83" s="2">
        <v>0.12</v>
      </c>
      <c r="E83" s="5">
        <f t="shared" si="6"/>
        <v>75840823.820443079</v>
      </c>
    </row>
    <row r="84" spans="4:13" x14ac:dyDescent="0.2">
      <c r="D84" s="2">
        <v>0.13</v>
      </c>
      <c r="E84" s="5">
        <f t="shared" si="6"/>
        <v>72425737.878028691</v>
      </c>
    </row>
    <row r="85" spans="4:13" x14ac:dyDescent="0.2">
      <c r="D85" s="2">
        <v>0.14000000000000001</v>
      </c>
      <c r="E85" s="5">
        <f t="shared" si="6"/>
        <v>69167754.727250949</v>
      </c>
    </row>
    <row r="86" spans="4:13" x14ac:dyDescent="0.2">
      <c r="D86" s="2">
        <v>0.15</v>
      </c>
      <c r="E86" s="5">
        <f t="shared" si="6"/>
        <v>66058211.157398373</v>
      </c>
    </row>
    <row r="87" spans="4:13" x14ac:dyDescent="0.2">
      <c r="D87" s="2">
        <v>0.16</v>
      </c>
      <c r="E87" s="5">
        <f t="shared" si="6"/>
        <v>63088997.730618805</v>
      </c>
    </row>
    <row r="88" spans="4:13" ht="15.75" thickBot="1" x14ac:dyDescent="0.25">
      <c r="D88" s="2">
        <v>0.17</v>
      </c>
      <c r="E88" s="5">
        <f t="shared" si="6"/>
        <v>60252518.711658776</v>
      </c>
      <c r="G88" t="s">
        <v>572</v>
      </c>
    </row>
    <row r="89" spans="4:13" x14ac:dyDescent="0.2">
      <c r="D89" s="2">
        <v>0.18</v>
      </c>
      <c r="E89" s="5">
        <f t="shared" si="6"/>
        <v>57541655.223903328</v>
      </c>
      <c r="G89" s="342" t="s">
        <v>328</v>
      </c>
      <c r="H89" s="343" t="s">
        <v>573</v>
      </c>
      <c r="I89" s="343" t="s">
        <v>332</v>
      </c>
      <c r="J89" s="343" t="s">
        <v>574</v>
      </c>
      <c r="K89" s="343" t="s">
        <v>575</v>
      </c>
      <c r="L89" s="343" t="s">
        <v>576</v>
      </c>
      <c r="M89" s="344" t="s">
        <v>577</v>
      </c>
    </row>
    <row r="90" spans="4:13" ht="15.75" thickBot="1" x14ac:dyDescent="0.25">
      <c r="D90" s="2">
        <v>0.19</v>
      </c>
      <c r="E90" s="5">
        <f t="shared" si="6"/>
        <v>54949731.346376091</v>
      </c>
      <c r="G90" s="345">
        <f>B42</f>
        <v>9.9818258410389493E-2</v>
      </c>
      <c r="H90" s="346">
        <f>B44</f>
        <v>0.68495420508231764</v>
      </c>
      <c r="I90" s="347">
        <f>B43</f>
        <v>83249980.478331149</v>
      </c>
      <c r="J90" s="348">
        <f>B48</f>
        <v>8.8681035314007524</v>
      </c>
      <c r="K90" s="346">
        <f>B57</f>
        <v>0.67053098701817326</v>
      </c>
      <c r="L90" s="347">
        <f>Hoja10!B34</f>
        <v>127063548.45301777</v>
      </c>
      <c r="M90" s="349">
        <f>Hoja10!B36</f>
        <v>286658.05111517169</v>
      </c>
    </row>
    <row r="91" spans="4:13" x14ac:dyDescent="0.2">
      <c r="D91" s="2">
        <v>0.2</v>
      </c>
      <c r="E91" s="5">
        <f t="shared" si="6"/>
        <v>52470482.893797189</v>
      </c>
    </row>
    <row r="92" spans="4:13" x14ac:dyDescent="0.2">
      <c r="D92" s="2">
        <v>0.21</v>
      </c>
      <c r="E92" s="5">
        <f t="shared" si="6"/>
        <v>50098028.64639388</v>
      </c>
      <c r="G92" t="s">
        <v>578</v>
      </c>
      <c r="J92" s="340">
        <f>K69/100</f>
        <v>0</v>
      </c>
      <c r="L92" t="str">
        <f>IF(H90&lt;G90,"PROYECTO NO VIABLE"," ")</f>
        <v xml:space="preserve"> </v>
      </c>
    </row>
    <row r="93" spans="4:13" x14ac:dyDescent="0.2">
      <c r="D93" s="2">
        <v>0.22</v>
      </c>
      <c r="E93" s="5">
        <f t="shared" si="6"/>
        <v>47826843.818223432</v>
      </c>
    </row>
    <row r="94" spans="4:13" x14ac:dyDescent="0.2">
      <c r="D94" s="2">
        <v>0.23</v>
      </c>
      <c r="E94" s="5">
        <f t="shared" si="6"/>
        <v>45651735.572582014</v>
      </c>
      <c r="G94" s="18"/>
      <c r="H94" s="350" t="s">
        <v>580</v>
      </c>
      <c r="I94" s="350" t="s">
        <v>581</v>
      </c>
      <c r="J94" s="350" t="s">
        <v>582</v>
      </c>
    </row>
    <row r="95" spans="4:13" x14ac:dyDescent="0.2">
      <c r="D95" s="2">
        <v>0.24</v>
      </c>
      <c r="E95" s="5">
        <f t="shared" si="6"/>
        <v>43567820.410882153</v>
      </c>
      <c r="G95" s="18" t="s">
        <v>579</v>
      </c>
      <c r="H95" s="82">
        <f>Hoja1!C8</f>
        <v>615</v>
      </c>
      <c r="I95" s="82">
        <f>Hoja1!C16</f>
        <v>440</v>
      </c>
      <c r="J95" s="82">
        <f>Hoja1!C24</f>
        <v>300</v>
      </c>
    </row>
    <row r="96" spans="4:13" x14ac:dyDescent="0.2">
      <c r="D96" s="2">
        <v>0.25</v>
      </c>
      <c r="E96" s="5">
        <f t="shared" si="6"/>
        <v>41570503.277402543</v>
      </c>
    </row>
    <row r="97" spans="4:10" x14ac:dyDescent="0.2">
      <c r="D97" s="2">
        <v>0.26</v>
      </c>
      <c r="E97" s="5">
        <f t="shared" si="6"/>
        <v>39655458.236739784</v>
      </c>
      <c r="G97" t="s">
        <v>583</v>
      </c>
    </row>
    <row r="98" spans="4:10" x14ac:dyDescent="0.2">
      <c r="D98" s="2">
        <v>0.27</v>
      </c>
      <c r="E98" s="5">
        <f t="shared" si="6"/>
        <v>37818610.593792655</v>
      </c>
      <c r="G98" s="18"/>
      <c r="H98" s="18" t="s">
        <v>584</v>
      </c>
      <c r="I98" s="18" t="s">
        <v>585</v>
      </c>
      <c r="J98" s="18" t="s">
        <v>586</v>
      </c>
    </row>
    <row r="99" spans="4:10" x14ac:dyDescent="0.2">
      <c r="D99" s="2">
        <v>0.28000000000000003</v>
      </c>
      <c r="E99" s="5">
        <f t="shared" si="6"/>
        <v>36056120.337835208</v>
      </c>
      <c r="G99" s="18" t="s">
        <v>286</v>
      </c>
      <c r="H99" s="82">
        <f>Hoja6!C37</f>
        <v>5594453.2569535915</v>
      </c>
      <c r="I99" s="92">
        <f>Hoja9!E6</f>
        <v>4.9469006981937413</v>
      </c>
      <c r="J99" s="92">
        <f>Hoja9!E43</f>
        <v>0.40817289658968187</v>
      </c>
    </row>
    <row r="100" spans="4:10" x14ac:dyDescent="0.2">
      <c r="D100" s="2">
        <v>0.28999999999999998</v>
      </c>
      <c r="E100" s="5">
        <f t="shared" si="6"/>
        <v>34364366.8028225</v>
      </c>
      <c r="G100" s="18" t="s">
        <v>287</v>
      </c>
      <c r="H100" s="82">
        <f>Hoja6!D37</f>
        <v>16435544.97146895</v>
      </c>
      <c r="I100" s="92">
        <f>Hoja9!F6</f>
        <v>6.6631757762264998</v>
      </c>
      <c r="J100" s="92">
        <f>Hoja9!F43</f>
        <v>0.44266357294862402</v>
      </c>
    </row>
    <row r="101" spans="4:10" x14ac:dyDescent="0.2">
      <c r="D101" s="2">
        <v>0.3</v>
      </c>
      <c r="E101" s="5">
        <f t="shared" si="6"/>
        <v>32739934.445635937</v>
      </c>
      <c r="G101" s="18" t="s">
        <v>265</v>
      </c>
      <c r="H101" s="82">
        <f>Hoja6!E37</f>
        <v>26847381.438199542</v>
      </c>
      <c r="I101" s="92">
        <f>Hoja9!G6</f>
        <v>9.0751753499852938</v>
      </c>
      <c r="J101" s="92">
        <f>Hoja9!G43</f>
        <v>0.47263851782867228</v>
      </c>
    </row>
    <row r="102" spans="4:10" x14ac:dyDescent="0.2">
      <c r="D102" s="2">
        <v>0.31</v>
      </c>
      <c r="E102" s="5">
        <f t="shared" si="6"/>
        <v>31179599.652625836</v>
      </c>
      <c r="G102" s="18" t="s">
        <v>256</v>
      </c>
      <c r="H102" s="82">
        <f>Hoja6!F37</f>
        <v>38398610.609166548</v>
      </c>
      <c r="I102" s="92">
        <f>Hoja9!H6</f>
        <v>12.081139919439632</v>
      </c>
      <c r="J102" s="92">
        <f>Hoja9!H43</f>
        <v>0.50049113898585096</v>
      </c>
    </row>
    <row r="103" spans="4:10" x14ac:dyDescent="0.2">
      <c r="D103" s="2">
        <v>0.32</v>
      </c>
      <c r="E103" s="5">
        <f t="shared" si="6"/>
        <v>29680318.492634498</v>
      </c>
      <c r="G103" s="18" t="s">
        <v>257</v>
      </c>
      <c r="H103" s="82">
        <f>Hoja6!G37</f>
        <v>45935926.20951362</v>
      </c>
      <c r="I103" s="92">
        <f>Hoja9!I6</f>
        <v>15.192034529975336</v>
      </c>
      <c r="J103" s="92">
        <f>Hoja9!I43</f>
        <v>0.50909145556376778</v>
      </c>
    </row>
    <row r="104" spans="4:10" x14ac:dyDescent="0.2">
      <c r="D104" s="2">
        <v>0.33</v>
      </c>
      <c r="E104" s="5">
        <f t="shared" si="6"/>
        <v>28239215.341773689</v>
      </c>
    </row>
    <row r="105" spans="4:10" x14ac:dyDescent="0.2">
      <c r="D105" s="2">
        <v>0.34</v>
      </c>
      <c r="E105" s="5">
        <f t="shared" si="6"/>
        <v>26853572.311655201</v>
      </c>
    </row>
    <row r="106" spans="4:10" x14ac:dyDescent="0.2">
      <c r="D106" s="2">
        <v>0.35</v>
      </c>
      <c r="E106" s="5">
        <f t="shared" si="6"/>
        <v>25520819.418602802</v>
      </c>
    </row>
    <row r="107" spans="4:10" x14ac:dyDescent="0.2">
      <c r="D107" s="2">
        <v>0.36</v>
      </c>
      <c r="E107" s="5">
        <f t="shared" si="6"/>
        <v>24238525.436665133</v>
      </c>
    </row>
    <row r="108" spans="4:10" x14ac:dyDescent="0.2">
      <c r="D108" s="2">
        <v>0.37</v>
      </c>
      <c r="E108" s="5">
        <f t="shared" si="6"/>
        <v>23004389.382056952</v>
      </c>
    </row>
    <row r="109" spans="4:10" x14ac:dyDescent="0.2">
      <c r="D109" s="2">
        <v>0.38</v>
      </c>
      <c r="E109" s="5">
        <f t="shared" si="6"/>
        <v>21816232.581026904</v>
      </c>
    </row>
    <row r="110" spans="4:10" x14ac:dyDescent="0.2">
      <c r="D110" s="2">
        <v>0.39</v>
      </c>
      <c r="E110" s="5">
        <f t="shared" si="6"/>
        <v>20671991.277125604</v>
      </c>
    </row>
    <row r="111" spans="4:10" x14ac:dyDescent="0.2">
      <c r="D111" s="2">
        <v>0.4</v>
      </c>
      <c r="E111" s="5">
        <f t="shared" si="6"/>
        <v>19569709.737470746</v>
      </c>
    </row>
    <row r="112" spans="4:10" x14ac:dyDescent="0.2">
      <c r="D112" s="2">
        <v>0.41</v>
      </c>
      <c r="E112" s="5">
        <f t="shared" si="6"/>
        <v>18507533.820901871</v>
      </c>
    </row>
    <row r="113" spans="4:5" x14ac:dyDescent="0.2">
      <c r="D113" s="2">
        <v>0.42</v>
      </c>
      <c r="E113" s="5">
        <f t="shared" si="6"/>
        <v>17483704.973928124</v>
      </c>
    </row>
    <row r="114" spans="4:5" x14ac:dyDescent="0.2">
      <c r="D114" s="2">
        <v>0.43</v>
      </c>
      <c r="E114" s="5">
        <f t="shared" si="6"/>
        <v>16496554.623114277</v>
      </c>
    </row>
    <row r="115" spans="4:5" x14ac:dyDescent="0.2">
      <c r="D115" s="2">
        <v>0.44</v>
      </c>
      <c r="E115" s="5">
        <f t="shared" si="6"/>
        <v>15544498.935057249</v>
      </c>
    </row>
    <row r="116" spans="4:5" x14ac:dyDescent="0.2">
      <c r="D116" s="2">
        <v>0.45</v>
      </c>
      <c r="E116" s="5">
        <f t="shared" si="6"/>
        <v>14626033.917393781</v>
      </c>
    </row>
    <row r="117" spans="4:5" x14ac:dyDescent="0.2">
      <c r="D117" s="2">
        <v>0.46</v>
      </c>
      <c r="E117" s="5">
        <f t="shared" si="6"/>
        <v>13739730.836372752</v>
      </c>
    </row>
    <row r="118" spans="4:5" x14ac:dyDescent="0.2">
      <c r="D118" s="2">
        <v>0.47</v>
      </c>
      <c r="E118" s="5">
        <f t="shared" si="6"/>
        <v>12884231.928439979</v>
      </c>
    </row>
    <row r="119" spans="4:5" x14ac:dyDescent="0.2">
      <c r="D119" s="2">
        <v>0.48</v>
      </c>
      <c r="E119" s="5">
        <f t="shared" si="6"/>
        <v>12058246.385035936</v>
      </c>
    </row>
    <row r="120" spans="4:5" x14ac:dyDescent="0.2">
      <c r="D120" s="2">
        <v>0.49</v>
      </c>
      <c r="E120" s="5">
        <f t="shared" si="6"/>
        <v>11260546.591411728</v>
      </c>
    </row>
    <row r="121" spans="4:5" x14ac:dyDescent="0.2">
      <c r="D121" s="2">
        <v>0.5</v>
      </c>
      <c r="E121" s="5">
        <f t="shared" si="6"/>
        <v>10489964.601739939</v>
      </c>
    </row>
    <row r="122" spans="4:5" x14ac:dyDescent="0.2">
      <c r="D122" s="2">
        <v>0.51</v>
      </c>
      <c r="E122" s="5">
        <f t="shared" si="6"/>
        <v>9745388.8341463692</v>
      </c>
    </row>
    <row r="123" spans="4:5" x14ac:dyDescent="0.2">
      <c r="D123" s="2">
        <v>0.52</v>
      </c>
      <c r="E123" s="5">
        <f t="shared" si="6"/>
        <v>9025760.9705264904</v>
      </c>
    </row>
    <row r="124" spans="4:5" x14ac:dyDescent="0.2">
      <c r="D124" s="2">
        <v>0.53</v>
      </c>
      <c r="E124" s="5">
        <f t="shared" si="6"/>
        <v>8330073.0471474566</v>
      </c>
    </row>
    <row r="125" spans="4:5" x14ac:dyDescent="0.2">
      <c r="D125" s="2">
        <v>0.54</v>
      </c>
      <c r="E125" s="5">
        <f t="shared" si="6"/>
        <v>7657364.7230809741</v>
      </c>
    </row>
    <row r="126" spans="4:5" x14ac:dyDescent="0.2">
      <c r="D126" s="2">
        <v>0.55000000000000004</v>
      </c>
      <c r="E126" s="5">
        <f t="shared" si="6"/>
        <v>7006720.714472387</v>
      </c>
    </row>
    <row r="127" spans="4:5" x14ac:dyDescent="0.2">
      <c r="D127" s="2">
        <v>0.56000000000000005</v>
      </c>
      <c r="E127" s="5">
        <f t="shared" si="6"/>
        <v>6377268.3835345916</v>
      </c>
    </row>
    <row r="128" spans="4:5" x14ac:dyDescent="0.2">
      <c r="D128" s="2">
        <v>0.56999999999999995</v>
      </c>
      <c r="E128" s="5">
        <f t="shared" si="6"/>
        <v>5768175.4719679616</v>
      </c>
    </row>
    <row r="129" spans="4:5" x14ac:dyDescent="0.2">
      <c r="D129" s="2">
        <v>0.57999999999999996</v>
      </c>
      <c r="E129" s="5">
        <f t="shared" si="6"/>
        <v>5178647.9692561552</v>
      </c>
    </row>
    <row r="130" spans="4:5" x14ac:dyDescent="0.2">
      <c r="D130" s="2">
        <v>0.59</v>
      </c>
      <c r="E130" s="5">
        <f t="shared" si="6"/>
        <v>4607928.1069771945</v>
      </c>
    </row>
    <row r="131" spans="4:5" x14ac:dyDescent="0.2">
      <c r="D131" s="2">
        <v>0.6</v>
      </c>
      <c r="E131" s="5">
        <f t="shared" si="6"/>
        <v>4055292.4709043689</v>
      </c>
    </row>
    <row r="132" spans="4:5" x14ac:dyDescent="0.2">
      <c r="D132" s="2">
        <v>0.61</v>
      </c>
      <c r="E132" s="5">
        <f t="shared" si="6"/>
        <v>3520050.2232589498</v>
      </c>
    </row>
    <row r="133" spans="4:5" x14ac:dyDescent="0.2">
      <c r="D133" s="2">
        <v>0.62</v>
      </c>
      <c r="E133" s="5">
        <f t="shared" si="6"/>
        <v>3001541.4280161895</v>
      </c>
    </row>
    <row r="134" spans="4:5" x14ac:dyDescent="0.2">
      <c r="D134" s="2">
        <v>0.63</v>
      </c>
      <c r="E134" s="5">
        <f t="shared" si="6"/>
        <v>2499135.4726673998</v>
      </c>
    </row>
    <row r="135" spans="4:5" x14ac:dyDescent="0.2">
      <c r="D135" s="2">
        <v>0.64</v>
      </c>
      <c r="E135" s="5">
        <f t="shared" ref="E135:E151" si="7">NPV(D135,$C$41:$I$41)+$B$41</f>
        <v>2012229.5803006291</v>
      </c>
    </row>
    <row r="136" spans="4:5" x14ac:dyDescent="0.2">
      <c r="D136" s="2">
        <v>0.65</v>
      </c>
      <c r="E136" s="5">
        <f t="shared" si="7"/>
        <v>1540247.4062906541</v>
      </c>
    </row>
    <row r="137" spans="4:5" x14ac:dyDescent="0.2">
      <c r="D137" s="2">
        <v>0.66</v>
      </c>
      <c r="E137" s="5">
        <f t="shared" si="7"/>
        <v>1082637.7142819613</v>
      </c>
    </row>
    <row r="138" spans="4:5" x14ac:dyDescent="0.2">
      <c r="D138" s="2">
        <v>0.67</v>
      </c>
      <c r="E138" s="5">
        <f t="shared" si="7"/>
        <v>638873.12651457265</v>
      </c>
    </row>
    <row r="139" spans="4:5" x14ac:dyDescent="0.2">
      <c r="D139" s="2">
        <v>0.68</v>
      </c>
      <c r="E139" s="5">
        <f t="shared" si="7"/>
        <v>208448.94387930818</v>
      </c>
    </row>
    <row r="140" spans="4:5" x14ac:dyDescent="0.2">
      <c r="D140" s="2">
        <v>0.69</v>
      </c>
      <c r="E140" s="5">
        <f t="shared" si="7"/>
        <v>-209117.96859719232</v>
      </c>
    </row>
    <row r="141" spans="4:5" x14ac:dyDescent="0.2">
      <c r="D141" s="2">
        <v>0.7</v>
      </c>
      <c r="E141" s="5">
        <f t="shared" si="7"/>
        <v>-614290.2348483745</v>
      </c>
    </row>
    <row r="142" spans="4:5" x14ac:dyDescent="0.2">
      <c r="D142" s="2">
        <v>0.71</v>
      </c>
      <c r="E142" s="5">
        <f t="shared" si="7"/>
        <v>-1007510.9631857574</v>
      </c>
    </row>
    <row r="143" spans="4:5" x14ac:dyDescent="0.2">
      <c r="D143" s="2">
        <v>0.72</v>
      </c>
      <c r="E143" s="5">
        <f t="shared" si="7"/>
        <v>-1389204.6875317711</v>
      </c>
    </row>
    <row r="144" spans="4:5" x14ac:dyDescent="0.2">
      <c r="D144" s="2">
        <v>0.73</v>
      </c>
      <c r="E144" s="5">
        <f t="shared" si="7"/>
        <v>-1759778.2577284425</v>
      </c>
    </row>
    <row r="145" spans="4:5" x14ac:dyDescent="0.2">
      <c r="D145" s="2">
        <v>0.74</v>
      </c>
      <c r="E145" s="5">
        <f t="shared" si="7"/>
        <v>-2119621.6819685977</v>
      </c>
    </row>
    <row r="146" spans="4:5" x14ac:dyDescent="0.2">
      <c r="D146" s="2">
        <v>0.75</v>
      </c>
      <c r="E146" s="5">
        <f t="shared" si="7"/>
        <v>-2469108.9241968859</v>
      </c>
    </row>
    <row r="147" spans="4:5" x14ac:dyDescent="0.2">
      <c r="D147" s="2">
        <v>0.76</v>
      </c>
      <c r="E147" s="5">
        <f t="shared" si="7"/>
        <v>-2808598.6591427587</v>
      </c>
    </row>
    <row r="148" spans="4:5" x14ac:dyDescent="0.2">
      <c r="D148" s="2">
        <v>0.77</v>
      </c>
      <c r="E148" s="5">
        <f t="shared" si="7"/>
        <v>-3138434.9874753058</v>
      </c>
    </row>
    <row r="149" spans="4:5" x14ac:dyDescent="0.2">
      <c r="D149" s="2">
        <v>0.78</v>
      </c>
      <c r="E149" s="5">
        <f t="shared" si="7"/>
        <v>-3458948.1134100314</v>
      </c>
    </row>
    <row r="150" spans="4:5" x14ac:dyDescent="0.2">
      <c r="D150" s="2">
        <v>0.79</v>
      </c>
      <c r="E150" s="5">
        <f t="shared" si="7"/>
        <v>-3770454.9869484846</v>
      </c>
    </row>
    <row r="151" spans="4:5" x14ac:dyDescent="0.2">
      <c r="D151" s="2">
        <v>0.8</v>
      </c>
      <c r="E151" s="5">
        <f t="shared" si="7"/>
        <v>-4073259.9127932843</v>
      </c>
    </row>
  </sheetData>
  <mergeCells count="9">
    <mergeCell ref="D69:E69"/>
    <mergeCell ref="A1:H1"/>
    <mergeCell ref="A2:H2"/>
    <mergeCell ref="C4:G4"/>
    <mergeCell ref="B60:G60"/>
    <mergeCell ref="H38:H40"/>
    <mergeCell ref="A37:H37"/>
    <mergeCell ref="H4:H6"/>
    <mergeCell ref="A26:F26"/>
  </mergeCells>
  <pageMargins left="0.7" right="0.7" top="0.75" bottom="0.75" header="0.3" footer="0.3"/>
  <pageSetup orientation="portrait" horizontalDpi="0" verticalDpi="0" r:id="rId1"/>
  <drawing r:id="rId2"/>
  <legacyDrawing r:id="rId3"/>
  <controls>
    <mc:AlternateContent xmlns:mc="http://schemas.openxmlformats.org/markup-compatibility/2006">
      <mc:Choice Requires="x14">
        <control shapeId="25601" r:id="rId4" name="ScrollBar1">
          <controlPr defaultSize="0" autoLine="0" linkedCell="K69" r:id="rId5">
            <anchor moveWithCells="1">
              <from>
                <xdr:col>11</xdr:col>
                <xdr:colOff>276225</xdr:colOff>
                <xdr:row>70</xdr:row>
                <xdr:rowOff>104775</xdr:rowOff>
              </from>
              <to>
                <xdr:col>11</xdr:col>
                <xdr:colOff>657225</xdr:colOff>
                <xdr:row>82</xdr:row>
                <xdr:rowOff>9525</xdr:rowOff>
              </to>
            </anchor>
          </controlPr>
        </control>
      </mc:Choice>
      <mc:Fallback>
        <control shapeId="25601" r:id="rId4" name="ScrollBar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B1:O81"/>
  <sheetViews>
    <sheetView showGridLines="0" tabSelected="1" zoomScale="82" zoomScaleNormal="82" workbookViewId="0">
      <selection activeCell="I26" sqref="I26"/>
    </sheetView>
  </sheetViews>
  <sheetFormatPr baseColWidth="10" defaultRowHeight="15" x14ac:dyDescent="0.2"/>
  <cols>
    <col min="1" max="1" width="6.33203125" customWidth="1"/>
    <col min="5" max="5" width="13.6640625" customWidth="1"/>
    <col min="6" max="6" width="15.6640625" customWidth="1"/>
    <col min="7" max="7" width="15.33203125" customWidth="1"/>
    <col min="8" max="8" width="18.109375" customWidth="1"/>
    <col min="9" max="9" width="11.6640625" bestFit="1" customWidth="1"/>
    <col min="10" max="10" width="12.21875" customWidth="1"/>
    <col min="11" max="11" width="11.21875" customWidth="1"/>
  </cols>
  <sheetData>
    <row r="1" spans="2:12" ht="35.25" customHeight="1" x14ac:dyDescent="0.2">
      <c r="B1" s="467" t="s">
        <v>587</v>
      </c>
      <c r="C1" s="467"/>
      <c r="D1" s="467"/>
      <c r="E1" s="467"/>
      <c r="F1" s="467"/>
      <c r="G1" s="467"/>
      <c r="H1" s="467"/>
      <c r="I1" s="467"/>
      <c r="J1" s="467"/>
      <c r="K1" s="467"/>
      <c r="L1" s="467"/>
    </row>
    <row r="2" spans="2:12" ht="15.75" x14ac:dyDescent="0.25">
      <c r="K2" s="351"/>
      <c r="L2" s="351"/>
    </row>
    <row r="3" spans="2:12" ht="18.75" thickBot="1" x14ac:dyDescent="0.3">
      <c r="B3" s="466" t="s">
        <v>588</v>
      </c>
      <c r="C3" s="466"/>
      <c r="I3" s="121"/>
      <c r="K3" s="351"/>
      <c r="L3" s="352"/>
    </row>
    <row r="4" spans="2:12" ht="17.25" thickTop="1" thickBot="1" x14ac:dyDescent="0.3">
      <c r="B4" s="370" t="s">
        <v>589</v>
      </c>
      <c r="C4" s="371" t="s">
        <v>332</v>
      </c>
      <c r="I4" s="121"/>
      <c r="K4" s="351"/>
      <c r="L4" s="351"/>
    </row>
    <row r="5" spans="2:12" ht="17.25" thickTop="1" thickBot="1" x14ac:dyDescent="0.3">
      <c r="B5" s="372">
        <v>0</v>
      </c>
      <c r="C5" s="373">
        <f>NPV(B5,Hoja12!$C$41:$G$41)+Hoja12!$B$41</f>
        <v>133211916.48530218</v>
      </c>
      <c r="I5" s="2"/>
      <c r="K5" s="351"/>
      <c r="L5" s="352"/>
    </row>
    <row r="6" spans="2:12" ht="17.25" thickTop="1" thickBot="1" x14ac:dyDescent="0.3">
      <c r="B6" s="372">
        <v>0.01</v>
      </c>
      <c r="C6" s="373">
        <f>NPV(B6,Hoja12!$C$41:$G$41)+Hoja12!$B$41</f>
        <v>126960814.26435015</v>
      </c>
      <c r="I6" s="121"/>
      <c r="K6" s="351"/>
      <c r="L6" s="351"/>
    </row>
    <row r="7" spans="2:12" ht="17.25" thickTop="1" thickBot="1" x14ac:dyDescent="0.3">
      <c r="B7" s="372">
        <v>0.02</v>
      </c>
      <c r="C7" s="373">
        <f>NPV(B7,Hoja12!$C$41:$G$41)+Hoja12!$B$41</f>
        <v>121034666.15703386</v>
      </c>
      <c r="I7" s="121"/>
      <c r="K7" s="351"/>
      <c r="L7" s="353"/>
    </row>
    <row r="8" spans="2:12" ht="16.5" thickTop="1" thickBot="1" x14ac:dyDescent="0.25">
      <c r="B8" s="372">
        <v>0.03</v>
      </c>
      <c r="C8" s="373">
        <f>NPV(B8,Hoja12!$C$41:$G$41)+Hoja12!$B$41</f>
        <v>115413305.24889679</v>
      </c>
      <c r="I8" s="121"/>
      <c r="K8" s="354"/>
      <c r="L8" s="354"/>
    </row>
    <row r="9" spans="2:12" ht="16.5" thickTop="1" thickBot="1" x14ac:dyDescent="0.25">
      <c r="B9" s="372">
        <v>0.04</v>
      </c>
      <c r="C9" s="373">
        <f>NPV(B9,Hoja12!$C$41:$G$41)+Hoja12!$B$41</f>
        <v>110078010.25777395</v>
      </c>
      <c r="I9" s="121"/>
    </row>
    <row r="10" spans="2:12" ht="16.5" thickTop="1" thickBot="1" x14ac:dyDescent="0.25">
      <c r="B10" s="372">
        <v>0.05</v>
      </c>
      <c r="C10" s="373">
        <f>NPV(B10,Hoja12!$C$41:$G$41)+Hoja12!$B$41</f>
        <v>105011388.55453882</v>
      </c>
      <c r="I10" s="121"/>
    </row>
    <row r="11" spans="2:12" ht="16.5" thickTop="1" thickBot="1" x14ac:dyDescent="0.25">
      <c r="B11" s="372">
        <v>0.06</v>
      </c>
      <c r="C11" s="373">
        <f>NPV(B11,Hoja12!$C$41:$G$41)+Hoja12!$B$41</f>
        <v>100197269.6937236</v>
      </c>
      <c r="I11" s="121"/>
    </row>
    <row r="12" spans="2:12" ht="16.5" thickTop="1" thickBot="1" x14ac:dyDescent="0.25">
      <c r="B12" s="372">
        <v>7.0000000000000007E-2</v>
      </c>
      <c r="C12" s="373">
        <f>NPV(B12,Hoja12!$C$41:$G$41)+Hoja12!$B$41</f>
        <v>95620608.418686986</v>
      </c>
    </row>
    <row r="13" spans="2:12" ht="16.5" thickTop="1" thickBot="1" x14ac:dyDescent="0.25">
      <c r="B13" s="372">
        <v>0.08</v>
      </c>
      <c r="C13" s="373">
        <f>NPV(B13,Hoja12!$C$41:$G$41)+Hoja12!$B$41</f>
        <v>91267396.216732576</v>
      </c>
    </row>
    <row r="14" spans="2:12" ht="16.5" thickTop="1" thickBot="1" x14ac:dyDescent="0.25">
      <c r="B14" s="372">
        <v>0.09</v>
      </c>
      <c r="C14" s="373">
        <f>NPV(B14,Hoja12!$C$41:$G$41)+Hoja12!$B$41</f>
        <v>87124580.597557157</v>
      </c>
    </row>
    <row r="15" spans="2:12" ht="16.5" thickTop="1" thickBot="1" x14ac:dyDescent="0.25">
      <c r="B15" s="372">
        <v>0.1</v>
      </c>
      <c r="C15" s="373">
        <f>NPV(B15,Hoja12!$C$41:$G$41)+Hoja12!$B$41</f>
        <v>83179991.355197459</v>
      </c>
    </row>
    <row r="16" spans="2:12" ht="16.5" thickTop="1" thickBot="1" x14ac:dyDescent="0.25">
      <c r="B16" s="372">
        <v>0.11</v>
      </c>
      <c r="C16" s="373">
        <f>NPV(B16,Hoja12!$C$41:$G$41)+Hoja12!$B$41</f>
        <v>79422273.150620192</v>
      </c>
    </row>
    <row r="17" spans="2:12" ht="16.5" thickTop="1" thickBot="1" x14ac:dyDescent="0.25">
      <c r="B17" s="372">
        <v>0.12</v>
      </c>
      <c r="C17" s="373">
        <f>NPV(B17,Hoja12!$C$41:$G$41)+Hoja12!$B$41</f>
        <v>75840823.820443079</v>
      </c>
    </row>
    <row r="18" spans="2:12" ht="16.5" thickTop="1" thickBot="1" x14ac:dyDescent="0.25">
      <c r="B18" s="372">
        <v>0.13</v>
      </c>
      <c r="C18" s="373">
        <f>NPV(B18,Hoja12!$C$41:$G$41)+Hoja12!$B$41</f>
        <v>72425737.878028691</v>
      </c>
    </row>
    <row r="19" spans="2:12" ht="16.5" thickTop="1" thickBot="1" x14ac:dyDescent="0.25">
      <c r="B19" s="372">
        <v>0.14000000000000001</v>
      </c>
      <c r="C19" s="373">
        <f>NPV(B19,Hoja12!$C$41:$G$41)+Hoja12!$B$41</f>
        <v>69167754.727250949</v>
      </c>
      <c r="L19" s="354"/>
    </row>
    <row r="20" spans="2:12" ht="16.5" thickTop="1" thickBot="1" x14ac:dyDescent="0.25">
      <c r="B20" s="372">
        <v>0.15</v>
      </c>
      <c r="C20" s="373">
        <f>NPV(B20,Hoja12!$C$41:$G$41)+Hoja12!$B$41</f>
        <v>66058211.157398373</v>
      </c>
    </row>
    <row r="21" spans="2:12" ht="16.5" thickTop="1" thickBot="1" x14ac:dyDescent="0.25">
      <c r="B21" s="372">
        <v>0.16</v>
      </c>
      <c r="C21" s="373">
        <f>NPV(B21,Hoja12!$C$41:$G$41)+Hoja12!$B$41</f>
        <v>63088997.730618805</v>
      </c>
    </row>
    <row r="22" spans="2:12" ht="16.5" thickTop="1" thickBot="1" x14ac:dyDescent="0.25">
      <c r="B22" s="372">
        <v>0.17</v>
      </c>
      <c r="C22" s="373">
        <f>NPV(B22,Hoja12!$C$41:$G$41)+Hoja12!$B$41</f>
        <v>60252518.711658776</v>
      </c>
    </row>
    <row r="23" spans="2:12" ht="16.5" thickTop="1" thickBot="1" x14ac:dyDescent="0.25">
      <c r="B23" s="372">
        <v>0.18</v>
      </c>
      <c r="C23" s="373">
        <f>NPV(B23,Hoja12!$C$41:$G$41)+Hoja12!$B$41</f>
        <v>57541655.223903328</v>
      </c>
    </row>
    <row r="24" spans="2:12" ht="20.25" customHeight="1" thickTop="1" thickBot="1" x14ac:dyDescent="0.25">
      <c r="B24" s="372">
        <v>0.19</v>
      </c>
      <c r="C24" s="373">
        <f>NPV(B24,Hoja12!$C$41:$G$41)+Hoja12!$B$41</f>
        <v>54949731.346376091</v>
      </c>
    </row>
    <row r="25" spans="2:12" ht="24.75" thickTop="1" thickBot="1" x14ac:dyDescent="0.4">
      <c r="B25" s="372">
        <v>0.2</v>
      </c>
      <c r="C25" s="373">
        <f>NPV(B25,Hoja12!$C$41:$G$41)+Hoja12!$B$41</f>
        <v>52470482.893797189</v>
      </c>
      <c r="E25" s="468" t="s">
        <v>590</v>
      </c>
      <c r="F25" s="468"/>
      <c r="G25" s="468"/>
      <c r="H25" s="468"/>
      <c r="I25" s="468"/>
      <c r="J25" s="468"/>
      <c r="K25" s="468"/>
    </row>
    <row r="26" spans="2:12" ht="16.5" thickTop="1" thickBot="1" x14ac:dyDescent="0.25">
      <c r="B26" s="372">
        <v>0.21</v>
      </c>
      <c r="C26" s="373">
        <f>NPV(B26,Hoja12!$C$41:$G$41)+Hoja12!$B$41</f>
        <v>50098028.64639388</v>
      </c>
      <c r="H26">
        <v>0</v>
      </c>
      <c r="I26" s="151">
        <f>1-(H26/100)</f>
        <v>1</v>
      </c>
    </row>
    <row r="27" spans="2:12" ht="24.75" thickTop="1" thickBot="1" x14ac:dyDescent="0.4">
      <c r="B27" s="372">
        <v>0.22</v>
      </c>
      <c r="C27" s="373">
        <f>NPV(B27,Hoja12!$C$41:$G$41)+Hoja12!$B$41</f>
        <v>47826843.818223432</v>
      </c>
      <c r="E27" s="469" t="s">
        <v>591</v>
      </c>
      <c r="F27" s="469"/>
      <c r="G27" s="469"/>
      <c r="H27" s="369">
        <f>H26/100</f>
        <v>0</v>
      </c>
    </row>
    <row r="28" spans="2:12" ht="16.5" thickTop="1" thickBot="1" x14ac:dyDescent="0.25">
      <c r="B28" s="372">
        <v>0.23</v>
      </c>
      <c r="C28" s="373">
        <f>NPV(B28,Hoja12!$C$41:$G$41)+Hoja12!$B$41</f>
        <v>45651735.572582014</v>
      </c>
    </row>
    <row r="29" spans="2:12" ht="19.5" thickTop="1" thickBot="1" x14ac:dyDescent="0.3">
      <c r="B29" s="372">
        <v>0.24</v>
      </c>
      <c r="C29" s="373">
        <f>NPV(B29,Hoja12!$C$41:$G$41)+Hoja12!$B$41</f>
        <v>43567820.410882153</v>
      </c>
      <c r="E29" s="470" t="s">
        <v>592</v>
      </c>
      <c r="F29" s="470"/>
      <c r="G29" s="470"/>
      <c r="H29" s="470"/>
      <c r="I29" s="470"/>
      <c r="J29" s="470"/>
      <c r="K29" s="470"/>
    </row>
    <row r="30" spans="2:12" ht="19.5" thickTop="1" thickBot="1" x14ac:dyDescent="0.3">
      <c r="B30" s="372">
        <v>0.25</v>
      </c>
      <c r="C30" s="373">
        <f>NPV(B30,Hoja12!$C$41:$G$41)+Hoja12!$B$41</f>
        <v>41570503.277402543</v>
      </c>
      <c r="E30" s="459"/>
      <c r="F30" s="459"/>
      <c r="G30" s="459"/>
      <c r="H30" s="459"/>
      <c r="I30" s="459"/>
      <c r="J30" s="459"/>
      <c r="K30" s="459"/>
    </row>
    <row r="31" spans="2:12" ht="16.5" thickTop="1" thickBot="1" x14ac:dyDescent="0.25">
      <c r="B31" s="372">
        <v>0.26</v>
      </c>
      <c r="C31" s="373">
        <f>NPV(B31,Hoja12!$C$41:$G$41)+Hoja12!$B$41</f>
        <v>39655458.236739784</v>
      </c>
      <c r="E31" s="462" t="s">
        <v>593</v>
      </c>
      <c r="F31" s="463"/>
      <c r="G31" s="463"/>
      <c r="H31" s="464" t="s">
        <v>332</v>
      </c>
      <c r="I31" s="464" t="s">
        <v>574</v>
      </c>
      <c r="J31" s="464" t="s">
        <v>573</v>
      </c>
      <c r="K31" s="456" t="s">
        <v>328</v>
      </c>
    </row>
    <row r="32" spans="2:12" ht="16.5" thickTop="1" thickBot="1" x14ac:dyDescent="0.25">
      <c r="B32" s="372">
        <v>0.27</v>
      </c>
      <c r="C32" s="373">
        <f>NPV(B32,Hoja12!$C$41:$G$41)+Hoja12!$B$41</f>
        <v>37818610.593792655</v>
      </c>
      <c r="E32" s="355" t="s">
        <v>478</v>
      </c>
      <c r="F32" s="356" t="s">
        <v>594</v>
      </c>
      <c r="G32" s="356" t="s">
        <v>595</v>
      </c>
      <c r="H32" s="465"/>
      <c r="I32" s="465"/>
      <c r="J32" s="465"/>
      <c r="K32" s="457"/>
    </row>
    <row r="33" spans="2:15" ht="21.75" thickTop="1" thickBot="1" x14ac:dyDescent="0.25">
      <c r="B33" s="372">
        <v>0.28000000000000003</v>
      </c>
      <c r="C33" s="373">
        <f>NPV(B33,Hoja12!$C$41:$G$41)+Hoja12!$B$41</f>
        <v>36056120.337835208</v>
      </c>
      <c r="E33" s="357">
        <v>615</v>
      </c>
      <c r="F33" s="358">
        <v>440</v>
      </c>
      <c r="G33" s="358">
        <v>300</v>
      </c>
      <c r="H33" s="362">
        <v>83249980.478331149</v>
      </c>
      <c r="I33" s="359">
        <v>8.8681035314007524</v>
      </c>
      <c r="J33" s="360">
        <v>0.68495420508231764</v>
      </c>
      <c r="K33" s="361">
        <v>9.9818258410389493E-2</v>
      </c>
      <c r="M33" s="460" t="s">
        <v>596</v>
      </c>
      <c r="N33" s="460"/>
      <c r="O33" s="460"/>
    </row>
    <row r="34" spans="2:15" ht="21.75" thickTop="1" thickBot="1" x14ac:dyDescent="0.3">
      <c r="B34" s="372">
        <v>0.28999999999999998</v>
      </c>
      <c r="C34" s="373">
        <f>NPV(B34,Hoja12!$C$41:$G$41)+Hoja12!$B$41</f>
        <v>34364366.8028225</v>
      </c>
      <c r="E34" s="363">
        <f>Hoja1!C8</f>
        <v>615</v>
      </c>
      <c r="F34" s="364">
        <f>Hoja1!C16</f>
        <v>440</v>
      </c>
      <c r="G34" s="364">
        <f>Hoja1!C24</f>
        <v>300</v>
      </c>
      <c r="H34" s="365">
        <f>Hoja12!B43</f>
        <v>83249980.478331149</v>
      </c>
      <c r="I34" s="366">
        <f>Hoja12!B48</f>
        <v>8.8681035314007524</v>
      </c>
      <c r="J34" s="367">
        <f>Hoja12!B44</f>
        <v>0.68495420508231764</v>
      </c>
      <c r="K34" s="368">
        <f>Hoja12!B42</f>
        <v>9.9818258410389493E-2</v>
      </c>
      <c r="M34" s="461" t="s">
        <v>597</v>
      </c>
      <c r="N34" s="461"/>
      <c r="O34" s="461"/>
    </row>
    <row r="35" spans="2:15" ht="16.5" thickTop="1" thickBot="1" x14ac:dyDescent="0.25">
      <c r="B35" s="372">
        <v>0.3</v>
      </c>
      <c r="C35" s="373">
        <f>NPV(B35,Hoja12!$C$41:$G$41)+Hoja12!$B$41</f>
        <v>32739934.445635937</v>
      </c>
    </row>
    <row r="36" spans="2:15" ht="16.5" thickTop="1" thickBot="1" x14ac:dyDescent="0.25">
      <c r="B36" s="372">
        <v>0.31</v>
      </c>
      <c r="C36" s="373">
        <f>NPV(B36,Hoja12!$C$41:$G$41)+Hoja12!$B$41</f>
        <v>31179599.652625836</v>
      </c>
      <c r="F36" s="458" t="str">
        <f>IF(J34&lt;K34,"PROYECTO NO VIABLE"," ")</f>
        <v xml:space="preserve"> </v>
      </c>
      <c r="G36" s="458"/>
      <c r="H36" s="458"/>
      <c r="I36" s="458"/>
      <c r="J36" s="458"/>
    </row>
    <row r="37" spans="2:15" ht="16.5" thickTop="1" thickBot="1" x14ac:dyDescent="0.25">
      <c r="B37" s="372">
        <v>0.32</v>
      </c>
      <c r="C37" s="373">
        <f>NPV(B37,Hoja12!$C$41:$G$41)+Hoja12!$B$41</f>
        <v>29680318.492634498</v>
      </c>
      <c r="F37" s="458"/>
      <c r="G37" s="458"/>
      <c r="H37" s="458"/>
      <c r="I37" s="458"/>
      <c r="J37" s="458"/>
    </row>
    <row r="38" spans="2:15" ht="16.5" thickTop="1" thickBot="1" x14ac:dyDescent="0.25">
      <c r="B38" s="372">
        <v>0.33</v>
      </c>
      <c r="C38" s="373">
        <f>NPV(B38,Hoja12!$C$41:$G$41)+Hoja12!$B$41</f>
        <v>28239215.341773689</v>
      </c>
    </row>
    <row r="39" spans="2:15" ht="16.5" thickTop="1" thickBot="1" x14ac:dyDescent="0.25">
      <c r="B39" s="372">
        <v>0.34</v>
      </c>
      <c r="C39" s="373">
        <f>NPV(B39,Hoja12!$C$41:$G$41)+Hoja12!$B$41</f>
        <v>26853572.311655201</v>
      </c>
    </row>
    <row r="40" spans="2:15" ht="16.5" thickTop="1" thickBot="1" x14ac:dyDescent="0.25">
      <c r="B40" s="372">
        <v>0.35</v>
      </c>
      <c r="C40" s="373">
        <f>NPV(B40,Hoja12!$C$41:$G$41)+Hoja12!$B$41</f>
        <v>25520819.418602802</v>
      </c>
    </row>
    <row r="41" spans="2:15" ht="16.5" thickTop="1" thickBot="1" x14ac:dyDescent="0.25">
      <c r="B41" s="372">
        <v>0.36</v>
      </c>
      <c r="C41" s="373">
        <f>NPV(B41,Hoja12!$C$41:$G$41)+Hoja12!$B$41</f>
        <v>24238525.436665133</v>
      </c>
    </row>
    <row r="42" spans="2:15" ht="16.5" thickTop="1" thickBot="1" x14ac:dyDescent="0.25">
      <c r="B42" s="372">
        <v>0.37</v>
      </c>
      <c r="C42" s="373">
        <f>NPV(B42,Hoja12!$C$41:$G$41)+Hoja12!$B$41</f>
        <v>23004389.382056952</v>
      </c>
    </row>
    <row r="43" spans="2:15" ht="16.5" thickTop="1" thickBot="1" x14ac:dyDescent="0.25">
      <c r="B43" s="372">
        <v>0.38</v>
      </c>
      <c r="C43" s="373">
        <f>NPV(B43,Hoja12!$C$41:$G$41)+Hoja12!$B$41</f>
        <v>21816232.581026904</v>
      </c>
    </row>
    <row r="44" spans="2:15" ht="16.5" thickTop="1" thickBot="1" x14ac:dyDescent="0.25">
      <c r="B44" s="372">
        <v>0.39</v>
      </c>
      <c r="C44" s="373">
        <f>NPV(B44,Hoja12!$C$41:$G$41)+Hoja12!$B$41</f>
        <v>20671991.277125604</v>
      </c>
    </row>
    <row r="45" spans="2:15" ht="16.5" thickTop="1" thickBot="1" x14ac:dyDescent="0.25">
      <c r="B45" s="372">
        <v>0.4</v>
      </c>
      <c r="C45" s="373">
        <f>NPV(B45,Hoja12!$C$41:$G$41)+Hoja12!$B$41</f>
        <v>19569709.737470746</v>
      </c>
    </row>
    <row r="46" spans="2:15" ht="16.5" thickTop="1" thickBot="1" x14ac:dyDescent="0.25">
      <c r="B46" s="372">
        <v>0.41</v>
      </c>
      <c r="C46" s="373">
        <f>NPV(B46,Hoja12!$C$41:$G$41)+Hoja12!$B$41</f>
        <v>18507533.820901871</v>
      </c>
    </row>
    <row r="47" spans="2:15" ht="16.5" thickTop="1" thickBot="1" x14ac:dyDescent="0.25">
      <c r="B47" s="372">
        <v>0.42</v>
      </c>
      <c r="C47" s="373">
        <f>NPV(B47,Hoja12!$C$41:$G$41)+Hoja12!$B$41</f>
        <v>17483704.973928124</v>
      </c>
    </row>
    <row r="48" spans="2:15" ht="16.5" thickTop="1" thickBot="1" x14ac:dyDescent="0.25">
      <c r="B48" s="372">
        <v>0.43</v>
      </c>
      <c r="C48" s="373">
        <f>NPV(B48,Hoja12!$C$41:$G$41)+Hoja12!$B$41</f>
        <v>16496554.623114277</v>
      </c>
    </row>
    <row r="49" spans="2:3" ht="16.5" thickTop="1" thickBot="1" x14ac:dyDescent="0.25">
      <c r="B49" s="372">
        <v>0.44</v>
      </c>
      <c r="C49" s="373">
        <f>NPV(B49,Hoja12!$C$41:$G$41)+Hoja12!$B$41</f>
        <v>15544498.935057249</v>
      </c>
    </row>
    <row r="50" spans="2:3" ht="16.5" thickTop="1" thickBot="1" x14ac:dyDescent="0.25">
      <c r="B50" s="372">
        <v>0.45</v>
      </c>
      <c r="C50" s="373">
        <f>NPV(B50,Hoja12!$C$41:$G$41)+Hoja12!$B$41</f>
        <v>14626033.917393781</v>
      </c>
    </row>
    <row r="51" spans="2:3" ht="16.5" thickTop="1" thickBot="1" x14ac:dyDescent="0.25">
      <c r="B51" s="372">
        <v>0.46</v>
      </c>
      <c r="C51" s="373">
        <f>NPV(B51,Hoja12!$C$41:$G$41)+Hoja12!$B$41</f>
        <v>13739730.836372752</v>
      </c>
    </row>
    <row r="52" spans="2:3" ht="16.5" thickTop="1" thickBot="1" x14ac:dyDescent="0.25">
      <c r="B52" s="372">
        <v>0.47</v>
      </c>
      <c r="C52" s="373">
        <f>NPV(B52,Hoja12!$C$41:$G$41)+Hoja12!$B$41</f>
        <v>12884231.928439979</v>
      </c>
    </row>
    <row r="53" spans="2:3" ht="16.5" thickTop="1" thickBot="1" x14ac:dyDescent="0.25">
      <c r="B53" s="372">
        <v>0.48</v>
      </c>
      <c r="C53" s="373">
        <f>NPV(B53,Hoja12!$C$41:$G$41)+Hoja12!$B$41</f>
        <v>12058246.385035936</v>
      </c>
    </row>
    <row r="54" spans="2:3" ht="16.5" thickTop="1" thickBot="1" x14ac:dyDescent="0.25">
      <c r="B54" s="372">
        <v>0.49</v>
      </c>
      <c r="C54" s="373">
        <f>NPV(B54,Hoja12!$C$41:$G$41)+Hoja12!$B$41</f>
        <v>11260546.591411728</v>
      </c>
    </row>
    <row r="55" spans="2:3" ht="16.5" thickTop="1" thickBot="1" x14ac:dyDescent="0.25">
      <c r="B55" s="372">
        <v>0.5</v>
      </c>
      <c r="C55" s="373">
        <f>NPV(B55,Hoja12!$C$41:$G$41)+Hoja12!$B$41</f>
        <v>10489964.601739939</v>
      </c>
    </row>
    <row r="56" spans="2:3" ht="16.5" thickTop="1" thickBot="1" x14ac:dyDescent="0.25">
      <c r="B56" s="372">
        <v>0.51</v>
      </c>
      <c r="C56" s="373">
        <f>NPV(B56,Hoja12!$C$41:$G$41)+Hoja12!$B$41</f>
        <v>9745388.8341463692</v>
      </c>
    </row>
    <row r="57" spans="2:3" ht="16.5" thickTop="1" thickBot="1" x14ac:dyDescent="0.25">
      <c r="B57" s="372">
        <v>0.52</v>
      </c>
      <c r="C57" s="373">
        <f>NPV(B57,Hoja12!$C$41:$G$41)+Hoja12!$B$41</f>
        <v>9025760.9705264904</v>
      </c>
    </row>
    <row r="58" spans="2:3" ht="16.5" thickTop="1" thickBot="1" x14ac:dyDescent="0.25">
      <c r="B58" s="372">
        <v>0.53</v>
      </c>
      <c r="C58" s="373">
        <f>NPV(B58,Hoja12!$C$41:$G$41)+Hoja12!$B$41</f>
        <v>8330073.0471474566</v>
      </c>
    </row>
    <row r="59" spans="2:3" ht="16.5" thickTop="1" thickBot="1" x14ac:dyDescent="0.25">
      <c r="B59" s="372">
        <v>0.54</v>
      </c>
      <c r="C59" s="373">
        <f>NPV(B59,Hoja12!$C$41:$G$41)+Hoja12!$B$41</f>
        <v>7657364.7230809741</v>
      </c>
    </row>
    <row r="60" spans="2:3" ht="16.5" thickTop="1" thickBot="1" x14ac:dyDescent="0.25">
      <c r="B60" s="372">
        <v>0.55000000000000004</v>
      </c>
      <c r="C60" s="373">
        <f>NPV(B60,Hoja12!$C$41:$G$41)+Hoja12!$B$41</f>
        <v>7006720.714472387</v>
      </c>
    </row>
    <row r="61" spans="2:3" ht="16.5" thickTop="1" thickBot="1" x14ac:dyDescent="0.25">
      <c r="B61" s="372">
        <v>0.56000000000000005</v>
      </c>
      <c r="C61" s="373">
        <f>NPV(B61,Hoja12!$C$41:$G$41)+Hoja12!$B$41</f>
        <v>6377268.3835345916</v>
      </c>
    </row>
    <row r="62" spans="2:3" ht="16.5" thickTop="1" thickBot="1" x14ac:dyDescent="0.25">
      <c r="B62" s="372">
        <v>0.56999999999999995</v>
      </c>
      <c r="C62" s="373">
        <f>NPV(B62,Hoja12!$C$41:$G$41)+Hoja12!$B$41</f>
        <v>5768175.4719679616</v>
      </c>
    </row>
    <row r="63" spans="2:3" ht="16.5" thickTop="1" thickBot="1" x14ac:dyDescent="0.25">
      <c r="B63" s="372">
        <v>0.57999999999999996</v>
      </c>
      <c r="C63" s="373">
        <f>NPV(B63,Hoja12!$C$41:$G$41)+Hoja12!$B$41</f>
        <v>5178647.9692561552</v>
      </c>
    </row>
    <row r="64" spans="2:3" ht="16.5" thickTop="1" thickBot="1" x14ac:dyDescent="0.25">
      <c r="B64" s="372">
        <v>0.59</v>
      </c>
      <c r="C64" s="373">
        <f>NPV(B64,Hoja12!$C$41:$G$41)+Hoja12!$B$41</f>
        <v>4607928.1069771945</v>
      </c>
    </row>
    <row r="65" spans="2:3" ht="16.5" thickTop="1" thickBot="1" x14ac:dyDescent="0.25">
      <c r="B65" s="372">
        <v>0.6</v>
      </c>
      <c r="C65" s="373">
        <f>NPV(B65,Hoja12!$C$41:$G$41)+Hoja12!$B$41</f>
        <v>4055292.4709043689</v>
      </c>
    </row>
    <row r="66" spans="2:3" ht="16.5" thickTop="1" thickBot="1" x14ac:dyDescent="0.25">
      <c r="B66" s="372">
        <v>0.61</v>
      </c>
      <c r="C66" s="373">
        <f>NPV(B66,Hoja12!$C$41:$G$41)+Hoja12!$B$41</f>
        <v>3520050.2232589498</v>
      </c>
    </row>
    <row r="67" spans="2:3" ht="16.5" thickTop="1" thickBot="1" x14ac:dyDescent="0.25">
      <c r="B67" s="372">
        <v>0.62</v>
      </c>
      <c r="C67" s="373">
        <f>NPV(B67,Hoja12!$C$41:$G$41)+Hoja12!$B$41</f>
        <v>3001541.4280161895</v>
      </c>
    </row>
    <row r="68" spans="2:3" ht="16.5" thickTop="1" thickBot="1" x14ac:dyDescent="0.25">
      <c r="B68" s="372">
        <v>0.63</v>
      </c>
      <c r="C68" s="373">
        <f>NPV(B68,Hoja12!$C$41:$G$41)+Hoja12!$B$41</f>
        <v>2499135.4726673998</v>
      </c>
    </row>
    <row r="69" spans="2:3" ht="16.5" thickTop="1" thickBot="1" x14ac:dyDescent="0.25">
      <c r="B69" s="372">
        <v>0.64</v>
      </c>
      <c r="C69" s="373">
        <f>NPV(B69,Hoja12!$C$41:$G$41)+Hoja12!$B$41</f>
        <v>2012229.5803006291</v>
      </c>
    </row>
    <row r="70" spans="2:3" ht="16.5" thickTop="1" thickBot="1" x14ac:dyDescent="0.25">
      <c r="B70" s="372">
        <v>0.65</v>
      </c>
      <c r="C70" s="373">
        <f>NPV(B70,Hoja12!$C$41:$G$41)+Hoja12!$B$41</f>
        <v>1540247.4062906541</v>
      </c>
    </row>
    <row r="71" spans="2:3" ht="16.5" thickTop="1" thickBot="1" x14ac:dyDescent="0.25">
      <c r="B71" s="372">
        <v>0.66</v>
      </c>
      <c r="C71" s="373">
        <f>NPV(B71,Hoja12!$C$41:$G$41)+Hoja12!$B$41</f>
        <v>1082637.7142819613</v>
      </c>
    </row>
    <row r="72" spans="2:3" ht="16.5" thickTop="1" thickBot="1" x14ac:dyDescent="0.25">
      <c r="B72" s="372">
        <v>0.67</v>
      </c>
      <c r="C72" s="373">
        <f>NPV(B72,Hoja12!$C$41:$G$41)+Hoja12!$B$41</f>
        <v>638873.12651457265</v>
      </c>
    </row>
    <row r="73" spans="2:3" ht="16.5" thickTop="1" thickBot="1" x14ac:dyDescent="0.25">
      <c r="B73" s="372">
        <v>0.68</v>
      </c>
      <c r="C73" s="373">
        <f>NPV(B73,Hoja12!$C$41:$G$41)+Hoja12!$B$41</f>
        <v>208448.94387930818</v>
      </c>
    </row>
    <row r="74" spans="2:3" ht="16.5" thickTop="1" thickBot="1" x14ac:dyDescent="0.25">
      <c r="B74" s="372">
        <v>0.69</v>
      </c>
      <c r="C74" s="373">
        <f>NPV(B74,Hoja12!$C$41:$G$41)+Hoja12!$B$41</f>
        <v>-209117.96859719232</v>
      </c>
    </row>
    <row r="75" spans="2:3" ht="16.5" thickTop="1" thickBot="1" x14ac:dyDescent="0.25">
      <c r="B75" s="372">
        <v>0.7</v>
      </c>
      <c r="C75" s="373">
        <f>NPV(B75,Hoja12!$C$41:$G$41)+Hoja12!$B$41</f>
        <v>-614290.2348483745</v>
      </c>
    </row>
    <row r="76" spans="2:3" ht="16.5" thickTop="1" thickBot="1" x14ac:dyDescent="0.25">
      <c r="B76" s="372">
        <v>0.71</v>
      </c>
      <c r="C76" s="373">
        <f>NPV(B76,Hoja12!$C$41:$G$41)+Hoja12!$B$41</f>
        <v>-1007510.9631857574</v>
      </c>
    </row>
    <row r="77" spans="2:3" ht="16.5" thickTop="1" thickBot="1" x14ac:dyDescent="0.25">
      <c r="B77" s="372">
        <v>0.72</v>
      </c>
      <c r="C77" s="373">
        <f>NPV(B77,Hoja12!$C$41:$G$41)+Hoja12!$B$41</f>
        <v>-1389204.6875317711</v>
      </c>
    </row>
    <row r="78" spans="2:3" ht="16.5" thickTop="1" thickBot="1" x14ac:dyDescent="0.25">
      <c r="B78" s="372">
        <v>0.73</v>
      </c>
      <c r="C78" s="373">
        <f>NPV(B78,Hoja12!$C$41:$G$41)+Hoja12!$B$41</f>
        <v>-1759778.2577284425</v>
      </c>
    </row>
    <row r="79" spans="2:3" ht="16.5" thickTop="1" thickBot="1" x14ac:dyDescent="0.25">
      <c r="B79" s="372">
        <v>0.74</v>
      </c>
      <c r="C79" s="373">
        <f>NPV(B79,Hoja12!$C$41:$G$41)+Hoja12!$B$41</f>
        <v>-2119621.6819685977</v>
      </c>
    </row>
    <row r="80" spans="2:3" ht="16.5" thickTop="1" thickBot="1" x14ac:dyDescent="0.25">
      <c r="B80" s="374">
        <v>0.75</v>
      </c>
      <c r="C80" s="375">
        <f>NPV(B80,Hoja12!$C$41:$G$41)+Hoja12!$B$41</f>
        <v>-2469108.9241968859</v>
      </c>
    </row>
    <row r="81" ht="15.75" thickTop="1" x14ac:dyDescent="0.2"/>
  </sheetData>
  <sortState ref="F4:I12">
    <sortCondition ref="F4:F12"/>
  </sortState>
  <mergeCells count="14">
    <mergeCell ref="B3:C3"/>
    <mergeCell ref="B1:L1"/>
    <mergeCell ref="E25:K25"/>
    <mergeCell ref="E27:G27"/>
    <mergeCell ref="E29:K29"/>
    <mergeCell ref="K31:K32"/>
    <mergeCell ref="F36:J37"/>
    <mergeCell ref="E30:K30"/>
    <mergeCell ref="M33:O33"/>
    <mergeCell ref="M34:O34"/>
    <mergeCell ref="E31:G31"/>
    <mergeCell ref="H31:H32"/>
    <mergeCell ref="I31:I32"/>
    <mergeCell ref="J31:J32"/>
  </mergeCells>
  <pageMargins left="0.7" right="0.7" top="0.75" bottom="0.75" header="0.3" footer="0.3"/>
  <pageSetup orientation="portrait" horizontalDpi="0" verticalDpi="0" r:id="rId1"/>
  <drawing r:id="rId2"/>
  <legacyDrawing r:id="rId3"/>
  <controls>
    <mc:AlternateContent xmlns:mc="http://schemas.openxmlformats.org/markup-compatibility/2006">
      <mc:Choice Requires="x14">
        <control shapeId="16385" r:id="rId4" name="ScrollBar1">
          <controlPr defaultSize="0" autoLine="0" linkedCell="H26" r:id="rId5">
            <anchor moveWithCells="1">
              <from>
                <xdr:col>10</xdr:col>
                <xdr:colOff>628650</xdr:colOff>
                <xdr:row>2</xdr:row>
                <xdr:rowOff>0</xdr:rowOff>
              </from>
              <to>
                <xdr:col>11</xdr:col>
                <xdr:colOff>0</xdr:colOff>
                <xdr:row>21</xdr:row>
                <xdr:rowOff>19050</xdr:rowOff>
              </to>
            </anchor>
          </controlPr>
        </control>
      </mc:Choice>
      <mc:Fallback>
        <control shapeId="16385" r:id="rId4" name="ScrollBar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N43"/>
  <sheetViews>
    <sheetView topLeftCell="A22" workbookViewId="0">
      <selection activeCell="F34" sqref="F34"/>
    </sheetView>
  </sheetViews>
  <sheetFormatPr baseColWidth="10" defaultRowHeight="15" x14ac:dyDescent="0.2"/>
  <cols>
    <col min="1" max="1" width="30.5546875" customWidth="1"/>
    <col min="2" max="2" width="11.6640625" bestFit="1" customWidth="1"/>
    <col min="3" max="3" width="13.21875" customWidth="1"/>
    <col min="4" max="4" width="13.44140625" customWidth="1"/>
    <col min="5" max="5" width="12.44140625" customWidth="1"/>
    <col min="6" max="6" width="12.5546875" customWidth="1"/>
  </cols>
  <sheetData>
    <row r="1" spans="1:14" ht="20.25" x14ac:dyDescent="0.3">
      <c r="A1" s="402" t="s">
        <v>396</v>
      </c>
      <c r="B1" s="402"/>
      <c r="C1" s="402"/>
      <c r="D1" s="402"/>
      <c r="E1" s="402"/>
      <c r="F1" s="402"/>
      <c r="G1" s="402"/>
      <c r="H1" s="402"/>
      <c r="I1" s="402"/>
      <c r="J1" s="402"/>
      <c r="K1" s="402"/>
      <c r="L1" s="402"/>
      <c r="M1" s="402"/>
      <c r="N1" s="402"/>
    </row>
    <row r="2" spans="1:14" ht="45" x14ac:dyDescent="0.2">
      <c r="A2" s="166" t="s">
        <v>397</v>
      </c>
      <c r="B2" s="166" t="s">
        <v>398</v>
      </c>
      <c r="C2" s="166" t="s">
        <v>399</v>
      </c>
      <c r="D2" s="166" t="s">
        <v>400</v>
      </c>
      <c r="E2" s="215" t="s">
        <v>401</v>
      </c>
      <c r="F2" s="166" t="s">
        <v>402</v>
      </c>
      <c r="G2" s="166" t="s">
        <v>403</v>
      </c>
      <c r="H2" s="166" t="s">
        <v>404</v>
      </c>
      <c r="I2" s="166" t="s">
        <v>405</v>
      </c>
      <c r="J2" s="166" t="s">
        <v>406</v>
      </c>
      <c r="K2" s="166" t="s">
        <v>407</v>
      </c>
      <c r="L2" s="166" t="s">
        <v>408</v>
      </c>
      <c r="M2" s="166" t="s">
        <v>409</v>
      </c>
      <c r="N2" s="166" t="s">
        <v>410</v>
      </c>
    </row>
    <row r="3" spans="1:14" x14ac:dyDescent="0.2">
      <c r="A3" s="216" t="s">
        <v>411</v>
      </c>
      <c r="B3" s="166"/>
      <c r="C3" s="166"/>
      <c r="D3" s="166"/>
      <c r="E3" s="217">
        <v>8.3299999999999999E-2</v>
      </c>
      <c r="F3" s="218">
        <v>0.01</v>
      </c>
      <c r="G3" s="165">
        <v>8.3299999999999999E-2</v>
      </c>
      <c r="H3" s="165">
        <v>4.1700000000000001E-2</v>
      </c>
      <c r="I3" s="218">
        <v>0.09</v>
      </c>
      <c r="J3" s="167">
        <v>0.1013</v>
      </c>
      <c r="K3" s="218">
        <v>0.08</v>
      </c>
      <c r="L3" s="218">
        <v>0.01</v>
      </c>
      <c r="M3" s="166"/>
      <c r="N3" s="166"/>
    </row>
    <row r="4" spans="1:14" x14ac:dyDescent="0.2">
      <c r="A4" s="189" t="s">
        <v>412</v>
      </c>
      <c r="B4" s="174">
        <v>260240</v>
      </c>
      <c r="C4" s="174">
        <v>26400</v>
      </c>
      <c r="D4" s="174">
        <f>B4+C4</f>
        <v>286640</v>
      </c>
      <c r="E4" s="174">
        <f>D4*E$3</f>
        <v>23877.112000000001</v>
      </c>
      <c r="F4" s="174">
        <f>E4*F$3</f>
        <v>238.77112000000002</v>
      </c>
      <c r="G4" s="174">
        <f>D4*G$3</f>
        <v>23877.112000000001</v>
      </c>
      <c r="H4" s="174">
        <f>B4*H$3</f>
        <v>10852.008</v>
      </c>
      <c r="I4" s="174">
        <f>B4*I$3</f>
        <v>23421.599999999999</v>
      </c>
      <c r="J4" s="174">
        <f>B4*J$3</f>
        <v>26362.312000000002</v>
      </c>
      <c r="K4" s="174">
        <f>B4*K$3</f>
        <v>20819.2</v>
      </c>
      <c r="L4" s="174">
        <f>B4*L$3</f>
        <v>2602.4</v>
      </c>
      <c r="M4" s="174">
        <f>SUM(D4:L4)</f>
        <v>418690.51512</v>
      </c>
      <c r="N4" s="174">
        <f>M4*12</f>
        <v>5024286.1814399995</v>
      </c>
    </row>
    <row r="5" spans="1:14" x14ac:dyDescent="0.2">
      <c r="A5" s="189" t="s">
        <v>413</v>
      </c>
      <c r="B5" s="174">
        <v>260240</v>
      </c>
      <c r="C5" s="174">
        <v>26400</v>
      </c>
      <c r="D5" s="174">
        <f>B5+C5</f>
        <v>286640</v>
      </c>
      <c r="E5" s="174">
        <f>D5*E$3</f>
        <v>23877.112000000001</v>
      </c>
      <c r="F5" s="174">
        <f>E5*F$3</f>
        <v>238.77112000000002</v>
      </c>
      <c r="G5" s="174">
        <f>D5*G$3</f>
        <v>23877.112000000001</v>
      </c>
      <c r="H5" s="174">
        <f>B5*H$3</f>
        <v>10852.008</v>
      </c>
      <c r="I5" s="174">
        <f>B5*I$3</f>
        <v>23421.599999999999</v>
      </c>
      <c r="J5" s="174">
        <f>B5*J$3</f>
        <v>26362.312000000002</v>
      </c>
      <c r="K5" s="174">
        <f>B5*K$3</f>
        <v>20819.2</v>
      </c>
      <c r="L5" s="174">
        <f>B5*L$3</f>
        <v>2602.4</v>
      </c>
      <c r="M5" s="174">
        <f>SUM(D5:L5)</f>
        <v>418690.51512</v>
      </c>
      <c r="N5" s="174">
        <f>M5*12</f>
        <v>5024286.1814399995</v>
      </c>
    </row>
    <row r="6" spans="1:14" ht="15.75" x14ac:dyDescent="0.25">
      <c r="A6" s="219" t="s">
        <v>414</v>
      </c>
      <c r="B6" s="220">
        <f>SUM(B4:B5)</f>
        <v>520480</v>
      </c>
      <c r="C6" s="220">
        <f t="shared" ref="C6:N6" si="0">SUM(C4:C5)</f>
        <v>52800</v>
      </c>
      <c r="D6" s="220">
        <f t="shared" si="0"/>
        <v>573280</v>
      </c>
      <c r="E6" s="220">
        <f t="shared" si="0"/>
        <v>47754.224000000002</v>
      </c>
      <c r="F6" s="220">
        <f t="shared" si="0"/>
        <v>477.54224000000005</v>
      </c>
      <c r="G6" s="220">
        <f t="shared" si="0"/>
        <v>47754.224000000002</v>
      </c>
      <c r="H6" s="220">
        <f t="shared" si="0"/>
        <v>21704.016</v>
      </c>
      <c r="I6" s="220">
        <f t="shared" si="0"/>
        <v>46843.199999999997</v>
      </c>
      <c r="J6" s="220">
        <f t="shared" si="0"/>
        <v>52724.624000000003</v>
      </c>
      <c r="K6" s="220">
        <f t="shared" si="0"/>
        <v>41638.400000000001</v>
      </c>
      <c r="L6" s="220">
        <f t="shared" si="0"/>
        <v>5204.8</v>
      </c>
      <c r="M6" s="220">
        <f t="shared" si="0"/>
        <v>837381.03023999999</v>
      </c>
      <c r="N6" s="220">
        <f t="shared" si="0"/>
        <v>10048572.362879999</v>
      </c>
    </row>
    <row r="8" spans="1:14" ht="15.75" x14ac:dyDescent="0.25">
      <c r="A8" s="403" t="s">
        <v>415</v>
      </c>
      <c r="B8" s="403"/>
      <c r="C8" s="403"/>
      <c r="D8" s="403"/>
    </row>
    <row r="9" spans="1:14" ht="15.75" x14ac:dyDescent="0.25">
      <c r="A9" s="398" t="s">
        <v>300</v>
      </c>
      <c r="B9" s="405" t="s">
        <v>286</v>
      </c>
      <c r="C9" s="406"/>
      <c r="D9" s="406"/>
    </row>
    <row r="10" spans="1:14" x14ac:dyDescent="0.2">
      <c r="A10" s="404"/>
      <c r="B10" s="166" t="s">
        <v>352</v>
      </c>
      <c r="C10" s="166" t="s">
        <v>416</v>
      </c>
      <c r="D10" s="166" t="s">
        <v>417</v>
      </c>
    </row>
    <row r="11" spans="1:14" x14ac:dyDescent="0.2">
      <c r="A11" s="226" t="s">
        <v>418</v>
      </c>
      <c r="B11" s="227">
        <v>6</v>
      </c>
      <c r="C11" s="228">
        <v>26000</v>
      </c>
      <c r="D11" s="228">
        <f>B11*C11</f>
        <v>156000</v>
      </c>
    </row>
    <row r="12" spans="1:14" x14ac:dyDescent="0.2">
      <c r="A12" s="227" t="s">
        <v>419</v>
      </c>
      <c r="B12" s="227">
        <v>40</v>
      </c>
      <c r="C12" s="228">
        <v>2000</v>
      </c>
      <c r="D12" s="228">
        <f>B12*C12</f>
        <v>80000</v>
      </c>
    </row>
    <row r="13" spans="1:14" x14ac:dyDescent="0.2">
      <c r="A13" s="227" t="s">
        <v>420</v>
      </c>
      <c r="B13" s="227">
        <v>40</v>
      </c>
      <c r="C13" s="228">
        <v>1200</v>
      </c>
      <c r="D13" s="228">
        <f>B13*C13</f>
        <v>48000</v>
      </c>
    </row>
    <row r="14" spans="1:14" x14ac:dyDescent="0.2">
      <c r="A14" s="227" t="s">
        <v>421</v>
      </c>
      <c r="B14" s="227">
        <v>6</v>
      </c>
      <c r="C14" s="228">
        <v>18500</v>
      </c>
      <c r="D14" s="228">
        <f>B14*C14</f>
        <v>111000</v>
      </c>
    </row>
    <row r="15" spans="1:14" x14ac:dyDescent="0.2">
      <c r="A15" s="229" t="s">
        <v>105</v>
      </c>
      <c r="B15" s="229"/>
      <c r="C15" s="230"/>
      <c r="D15" s="230">
        <f>SUM(D11:D14)</f>
        <v>395000</v>
      </c>
    </row>
    <row r="16" spans="1:14" x14ac:dyDescent="0.2">
      <c r="A16" s="227"/>
      <c r="B16" s="227"/>
      <c r="C16" s="228"/>
      <c r="D16" s="228"/>
    </row>
    <row r="17" spans="1:9" ht="15.75" x14ac:dyDescent="0.25">
      <c r="A17" s="379" t="s">
        <v>39</v>
      </c>
      <c r="B17" s="379"/>
      <c r="C17" s="379"/>
      <c r="D17" s="379"/>
      <c r="E17" s="379"/>
      <c r="F17" s="379"/>
      <c r="G17" s="379"/>
      <c r="H17" s="379"/>
      <c r="I17" s="379"/>
    </row>
    <row r="18" spans="1:9" ht="15.75" x14ac:dyDescent="0.25">
      <c r="A18" s="380" t="s">
        <v>40</v>
      </c>
      <c r="B18" s="380"/>
      <c r="C18" s="380"/>
      <c r="D18" s="380"/>
      <c r="E18" s="380"/>
      <c r="F18" s="380"/>
      <c r="G18" s="380"/>
      <c r="H18" s="380"/>
      <c r="I18" s="380"/>
    </row>
    <row r="19" spans="1:9" x14ac:dyDescent="0.2">
      <c r="A19" s="7" t="s">
        <v>1</v>
      </c>
      <c r="B19" s="61" t="s">
        <v>2</v>
      </c>
      <c r="C19" s="388" t="s">
        <v>3</v>
      </c>
      <c r="D19" s="388"/>
      <c r="E19" s="388"/>
      <c r="F19" s="388"/>
      <c r="G19" s="388"/>
      <c r="H19" s="14"/>
      <c r="I19" s="14"/>
    </row>
    <row r="20" spans="1:9" x14ac:dyDescent="0.2">
      <c r="A20" s="9" t="s">
        <v>6</v>
      </c>
      <c r="B20" s="11">
        <v>1</v>
      </c>
      <c r="C20" s="11">
        <v>2</v>
      </c>
      <c r="D20" s="26">
        <v>3</v>
      </c>
      <c r="E20" s="11">
        <v>4</v>
      </c>
      <c r="F20" s="11">
        <v>5</v>
      </c>
      <c r="G20" s="11">
        <v>6</v>
      </c>
      <c r="H20" s="153"/>
      <c r="I20" s="153"/>
    </row>
    <row r="21" spans="1:9" x14ac:dyDescent="0.2">
      <c r="A21" s="6" t="s">
        <v>4</v>
      </c>
      <c r="B21" s="6"/>
      <c r="C21" s="10">
        <f>Hoja1!C6</f>
        <v>0.62</v>
      </c>
      <c r="D21" s="10">
        <f>Hoja1!D6</f>
        <v>0.71</v>
      </c>
      <c r="E21" s="10">
        <f>Hoja1!E6</f>
        <v>0.81</v>
      </c>
      <c r="F21" s="10">
        <f>Hoja1!F6</f>
        <v>0.92</v>
      </c>
      <c r="G21" s="10">
        <f>Hoja1!G6</f>
        <v>1</v>
      </c>
      <c r="H21" s="124"/>
      <c r="I21" s="124"/>
    </row>
    <row r="22" spans="1:9" x14ac:dyDescent="0.2">
      <c r="A22" s="8" t="s">
        <v>422</v>
      </c>
      <c r="C22" s="5">
        <f>Hoja1!C27</f>
        <v>333000</v>
      </c>
      <c r="D22" s="5">
        <f>Hoja1!D27</f>
        <v>382000</v>
      </c>
      <c r="E22" s="5">
        <f>Hoja1!E27</f>
        <v>435000</v>
      </c>
      <c r="F22" s="5">
        <f>Hoja1!F27</f>
        <v>493000</v>
      </c>
      <c r="G22" s="5">
        <f>Hoja1!G27</f>
        <v>537000</v>
      </c>
      <c r="H22" s="15"/>
      <c r="I22" s="15"/>
    </row>
    <row r="23" spans="1:9" x14ac:dyDescent="0.2">
      <c r="A23" s="8" t="s">
        <v>353</v>
      </c>
      <c r="C23" s="4">
        <f>C24/C22</f>
        <v>31.362079167807806</v>
      </c>
      <c r="D23" s="4">
        <f t="shared" ref="D23:G23" si="1">D24/D22</f>
        <v>27.339194667225129</v>
      </c>
      <c r="E23" s="4">
        <f t="shared" si="1"/>
        <v>24.008212328459766</v>
      </c>
      <c r="F23" s="4">
        <f t="shared" si="1"/>
        <v>21.183716760405677</v>
      </c>
      <c r="G23" s="4">
        <f t="shared" si="1"/>
        <v>19.447993226964616</v>
      </c>
      <c r="H23" s="15"/>
      <c r="I23" s="15"/>
    </row>
    <row r="24" spans="1:9" x14ac:dyDescent="0.2">
      <c r="A24" s="9" t="s">
        <v>423</v>
      </c>
      <c r="B24" s="7"/>
      <c r="C24" s="96">
        <f>$N$6+$D$15</f>
        <v>10443572.362879999</v>
      </c>
      <c r="D24" s="96">
        <f t="shared" ref="D24:G24" si="2">$N$6+$D$15</f>
        <v>10443572.362879999</v>
      </c>
      <c r="E24" s="96">
        <f t="shared" si="2"/>
        <v>10443572.362879999</v>
      </c>
      <c r="F24" s="96">
        <f t="shared" si="2"/>
        <v>10443572.362879999</v>
      </c>
      <c r="G24" s="96">
        <f t="shared" si="2"/>
        <v>10443572.362879999</v>
      </c>
      <c r="H24" s="33"/>
      <c r="I24" s="33"/>
    </row>
    <row r="28" spans="1:9" ht="24" customHeight="1" x14ac:dyDescent="0.2">
      <c r="A28" s="407" t="s">
        <v>428</v>
      </c>
      <c r="B28" s="407"/>
      <c r="C28" s="407"/>
      <c r="D28" s="407"/>
      <c r="E28" s="407"/>
      <c r="F28" s="407"/>
    </row>
    <row r="29" spans="1:9" ht="15.75" x14ac:dyDescent="0.25">
      <c r="A29" s="42" t="s">
        <v>429</v>
      </c>
      <c r="B29" s="235" t="s">
        <v>287</v>
      </c>
      <c r="C29" s="235" t="s">
        <v>265</v>
      </c>
      <c r="D29" s="235" t="s">
        <v>256</v>
      </c>
      <c r="E29" s="235" t="s">
        <v>257</v>
      </c>
      <c r="F29" s="235" t="s">
        <v>258</v>
      </c>
    </row>
    <row r="30" spans="1:9" x14ac:dyDescent="0.2">
      <c r="A30" s="233" t="s">
        <v>424</v>
      </c>
      <c r="B30" s="232">
        <f>150000*12</f>
        <v>1800000</v>
      </c>
      <c r="C30" s="232">
        <f t="shared" ref="C30:F30" si="3">150000*12</f>
        <v>1800000</v>
      </c>
      <c r="D30" s="232">
        <f t="shared" si="3"/>
        <v>1800000</v>
      </c>
      <c r="E30" s="232">
        <f t="shared" si="3"/>
        <v>1800000</v>
      </c>
      <c r="F30" s="232">
        <f t="shared" si="3"/>
        <v>1800000</v>
      </c>
    </row>
    <row r="31" spans="1:9" x14ac:dyDescent="0.2">
      <c r="A31" s="227" t="s">
        <v>425</v>
      </c>
      <c r="B31" s="231">
        <v>115462</v>
      </c>
      <c r="C31" s="231">
        <v>115462</v>
      </c>
      <c r="D31" s="231">
        <v>115462</v>
      </c>
      <c r="E31" s="231">
        <v>115462</v>
      </c>
      <c r="F31" s="231">
        <v>115462</v>
      </c>
    </row>
    <row r="32" spans="1:9" x14ac:dyDescent="0.2">
      <c r="A32" s="227" t="s">
        <v>426</v>
      </c>
      <c r="B32" s="232">
        <f>300000*12</f>
        <v>3600000</v>
      </c>
      <c r="C32" s="232">
        <f t="shared" ref="C32:F32" si="4">300000*12</f>
        <v>3600000</v>
      </c>
      <c r="D32" s="232">
        <f t="shared" si="4"/>
        <v>3600000</v>
      </c>
      <c r="E32" s="232">
        <f t="shared" si="4"/>
        <v>3600000</v>
      </c>
      <c r="F32" s="232">
        <f t="shared" si="4"/>
        <v>3600000</v>
      </c>
    </row>
    <row r="33" spans="1:9" ht="15.75" x14ac:dyDescent="0.25">
      <c r="A33" s="42" t="s">
        <v>427</v>
      </c>
      <c r="B33" s="234">
        <f>SUM(B30:B32)</f>
        <v>5515462</v>
      </c>
      <c r="C33" s="234">
        <f t="shared" ref="C33:F33" si="5">SUM(C30:C32)</f>
        <v>5515462</v>
      </c>
      <c r="D33" s="234">
        <f t="shared" si="5"/>
        <v>5515462</v>
      </c>
      <c r="E33" s="234">
        <f t="shared" si="5"/>
        <v>5515462</v>
      </c>
      <c r="F33" s="234">
        <f t="shared" si="5"/>
        <v>5515462</v>
      </c>
    </row>
    <row r="36" spans="1:9" ht="15.75" x14ac:dyDescent="0.25">
      <c r="A36" s="379" t="s">
        <v>41</v>
      </c>
      <c r="B36" s="379"/>
      <c r="C36" s="379"/>
      <c r="D36" s="379"/>
      <c r="E36" s="379"/>
      <c r="F36" s="379"/>
      <c r="G36" s="379"/>
      <c r="H36" s="237"/>
      <c r="I36" s="237"/>
    </row>
    <row r="37" spans="1:9" ht="15.75" x14ac:dyDescent="0.25">
      <c r="A37" s="380" t="s">
        <v>42</v>
      </c>
      <c r="B37" s="380"/>
      <c r="C37" s="380"/>
      <c r="D37" s="380"/>
      <c r="E37" s="380"/>
      <c r="F37" s="380"/>
      <c r="G37" s="380"/>
      <c r="H37" s="380"/>
      <c r="I37" s="380"/>
    </row>
    <row r="38" spans="1:9" x14ac:dyDescent="0.2">
      <c r="A38" s="7" t="s">
        <v>1</v>
      </c>
      <c r="B38" s="61" t="s">
        <v>2</v>
      </c>
      <c r="C38" s="388" t="s">
        <v>3</v>
      </c>
      <c r="D38" s="388"/>
      <c r="E38" s="388"/>
      <c r="F38" s="388"/>
      <c r="G38" s="388"/>
      <c r="H38" s="14"/>
      <c r="I38" s="14"/>
    </row>
    <row r="39" spans="1:9" x14ac:dyDescent="0.2">
      <c r="A39" s="9" t="s">
        <v>6</v>
      </c>
      <c r="B39" s="11">
        <v>1</v>
      </c>
      <c r="C39" s="11">
        <v>2</v>
      </c>
      <c r="D39" s="26">
        <v>3</v>
      </c>
      <c r="E39" s="11">
        <v>4</v>
      </c>
      <c r="F39" s="11">
        <v>5</v>
      </c>
      <c r="G39" s="11">
        <v>6</v>
      </c>
      <c r="H39" s="153"/>
      <c r="I39" s="153"/>
    </row>
    <row r="40" spans="1:9" x14ac:dyDescent="0.2">
      <c r="A40" s="6" t="s">
        <v>4</v>
      </c>
      <c r="B40" s="6"/>
      <c r="C40" s="10">
        <f>C21</f>
        <v>0.62</v>
      </c>
      <c r="D40" s="10">
        <f t="shared" ref="D40:G40" si="6">D21</f>
        <v>0.71</v>
      </c>
      <c r="E40" s="10">
        <f t="shared" si="6"/>
        <v>0.81</v>
      </c>
      <c r="F40" s="10">
        <f t="shared" si="6"/>
        <v>0.92</v>
      </c>
      <c r="G40" s="10">
        <f t="shared" si="6"/>
        <v>1</v>
      </c>
      <c r="H40" s="124"/>
      <c r="I40" s="124"/>
    </row>
    <row r="41" spans="1:9" x14ac:dyDescent="0.2">
      <c r="A41" s="8" t="s">
        <v>422</v>
      </c>
      <c r="C41" s="5">
        <f>C22</f>
        <v>333000</v>
      </c>
      <c r="D41" s="5">
        <f t="shared" ref="D41:G41" si="7">D22</f>
        <v>382000</v>
      </c>
      <c r="E41" s="5">
        <f t="shared" si="7"/>
        <v>435000</v>
      </c>
      <c r="F41" s="5">
        <f t="shared" si="7"/>
        <v>493000</v>
      </c>
      <c r="G41" s="5">
        <f t="shared" si="7"/>
        <v>537000</v>
      </c>
      <c r="H41" s="15"/>
      <c r="I41" s="15"/>
    </row>
    <row r="42" spans="1:9" ht="30" x14ac:dyDescent="0.2">
      <c r="A42" s="23" t="s">
        <v>43</v>
      </c>
      <c r="C42" s="236">
        <f>C43/C41</f>
        <v>16.56294894894895</v>
      </c>
      <c r="D42" s="236">
        <f t="shared" ref="D42:G42" si="8">D43/D41</f>
        <v>14.43838219895288</v>
      </c>
      <c r="E42" s="236">
        <f t="shared" si="8"/>
        <v>12.679222988505748</v>
      </c>
      <c r="F42" s="236">
        <f t="shared" si="8"/>
        <v>11.187549695740366</v>
      </c>
      <c r="G42" s="236">
        <f t="shared" si="8"/>
        <v>10.27087895716946</v>
      </c>
      <c r="H42" s="15"/>
      <c r="I42" s="15"/>
    </row>
    <row r="43" spans="1:9" ht="30" x14ac:dyDescent="0.2">
      <c r="A43" s="24" t="s">
        <v>430</v>
      </c>
      <c r="B43" s="7"/>
      <c r="C43" s="146">
        <f>B33</f>
        <v>5515462</v>
      </c>
      <c r="D43" s="146">
        <f t="shared" ref="D43:G43" si="9">C33</f>
        <v>5515462</v>
      </c>
      <c r="E43" s="146">
        <f t="shared" si="9"/>
        <v>5515462</v>
      </c>
      <c r="F43" s="146">
        <f t="shared" si="9"/>
        <v>5515462</v>
      </c>
      <c r="G43" s="146">
        <f t="shared" si="9"/>
        <v>5515462</v>
      </c>
      <c r="H43" s="33"/>
      <c r="I43" s="33"/>
    </row>
  </sheetData>
  <mergeCells count="11">
    <mergeCell ref="A1:N1"/>
    <mergeCell ref="A8:D8"/>
    <mergeCell ref="A9:A10"/>
    <mergeCell ref="B9:D9"/>
    <mergeCell ref="A28:F28"/>
    <mergeCell ref="C38:G38"/>
    <mergeCell ref="A36:G36"/>
    <mergeCell ref="A17:I17"/>
    <mergeCell ref="A18:I18"/>
    <mergeCell ref="A37:I37"/>
    <mergeCell ref="C19:G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P147"/>
  <sheetViews>
    <sheetView topLeftCell="A115" workbookViewId="0">
      <selection activeCell="F128" sqref="F128"/>
    </sheetView>
  </sheetViews>
  <sheetFormatPr baseColWidth="10" defaultRowHeight="15" x14ac:dyDescent="0.2"/>
  <cols>
    <col min="1" max="1" width="34.77734375" customWidth="1"/>
    <col min="2" max="2" width="11" customWidth="1"/>
    <col min="3" max="3" width="11.77734375" bestFit="1" customWidth="1"/>
    <col min="5" max="7" width="12.44140625" bestFit="1" customWidth="1"/>
    <col min="8" max="8" width="11.77734375" customWidth="1"/>
  </cols>
  <sheetData>
    <row r="1" spans="1:14" ht="20.25" x14ac:dyDescent="0.3">
      <c r="A1" s="415" t="s">
        <v>449</v>
      </c>
      <c r="B1" s="415"/>
      <c r="C1" s="415"/>
      <c r="D1" s="415"/>
      <c r="E1" s="415"/>
      <c r="F1" s="415"/>
      <c r="G1" s="415"/>
      <c r="H1" s="415"/>
      <c r="I1" s="415"/>
      <c r="J1" s="415"/>
      <c r="K1" s="415"/>
      <c r="L1" s="415"/>
      <c r="M1" s="415"/>
      <c r="N1" s="415"/>
    </row>
    <row r="2" spans="1:14" ht="45" x14ac:dyDescent="0.2">
      <c r="A2" s="166" t="s">
        <v>397</v>
      </c>
      <c r="B2" s="166" t="s">
        <v>398</v>
      </c>
      <c r="C2" s="166" t="s">
        <v>399</v>
      </c>
      <c r="D2" s="166" t="s">
        <v>400</v>
      </c>
      <c r="E2" s="215" t="s">
        <v>401</v>
      </c>
      <c r="F2" s="166" t="s">
        <v>402</v>
      </c>
      <c r="G2" s="166" t="s">
        <v>403</v>
      </c>
      <c r="H2" s="166" t="s">
        <v>404</v>
      </c>
      <c r="I2" s="166" t="s">
        <v>405</v>
      </c>
      <c r="J2" s="166" t="s">
        <v>406</v>
      </c>
      <c r="K2" s="166" t="s">
        <v>407</v>
      </c>
      <c r="L2" s="166" t="s">
        <v>408</v>
      </c>
      <c r="M2" s="166" t="s">
        <v>409</v>
      </c>
      <c r="N2" s="166" t="s">
        <v>410</v>
      </c>
    </row>
    <row r="3" spans="1:14" x14ac:dyDescent="0.2">
      <c r="A3" s="216" t="s">
        <v>411</v>
      </c>
      <c r="B3" s="166"/>
      <c r="C3" s="166"/>
      <c r="D3" s="166"/>
      <c r="E3" s="217">
        <v>8.3299999999999999E-2</v>
      </c>
      <c r="F3" s="218">
        <v>0.01</v>
      </c>
      <c r="G3" s="167">
        <v>8.3299999999999999E-2</v>
      </c>
      <c r="H3" s="165">
        <v>4.1700000000000001E-2</v>
      </c>
      <c r="I3" s="218">
        <v>0.09</v>
      </c>
      <c r="J3" s="167">
        <v>0.1013</v>
      </c>
      <c r="K3" s="218">
        <v>0.08</v>
      </c>
      <c r="L3" s="218">
        <v>0.01</v>
      </c>
      <c r="M3" s="166"/>
      <c r="N3" s="166"/>
    </row>
    <row r="4" spans="1:14" x14ac:dyDescent="0.2">
      <c r="A4" s="189" t="s">
        <v>450</v>
      </c>
      <c r="B4" s="174">
        <v>390240</v>
      </c>
      <c r="C4" s="174">
        <v>26400</v>
      </c>
      <c r="D4" s="174">
        <f>B4+C4</f>
        <v>416640</v>
      </c>
      <c r="E4" s="174">
        <f>D4*E$3</f>
        <v>34706.112000000001</v>
      </c>
      <c r="F4" s="174">
        <f>E4*F$3</f>
        <v>347.06112000000002</v>
      </c>
      <c r="G4" s="174">
        <f>E4*G$3</f>
        <v>2891.0191296000003</v>
      </c>
      <c r="H4" s="174">
        <f>B4*H$3</f>
        <v>16273.008</v>
      </c>
      <c r="I4" s="174">
        <f>B4*I$3</f>
        <v>35121.599999999999</v>
      </c>
      <c r="J4" s="174">
        <f>B4*J$3</f>
        <v>39531.311999999998</v>
      </c>
      <c r="K4" s="174">
        <f>B4*K$3</f>
        <v>31219.200000000001</v>
      </c>
      <c r="L4" s="174">
        <f>B4*L$3</f>
        <v>3902.4</v>
      </c>
      <c r="M4" s="174">
        <f>SUM(D4:L4)</f>
        <v>580631.71224959998</v>
      </c>
      <c r="N4" s="174">
        <f>M4*12</f>
        <v>6967580.5469952002</v>
      </c>
    </row>
    <row r="5" spans="1:14" x14ac:dyDescent="0.2">
      <c r="A5" s="189" t="s">
        <v>451</v>
      </c>
      <c r="B5" s="174">
        <v>260160</v>
      </c>
      <c r="C5" s="174">
        <v>26400</v>
      </c>
      <c r="D5" s="174">
        <f>B5+C5</f>
        <v>286560</v>
      </c>
      <c r="E5" s="174">
        <f>D5*E$3</f>
        <v>23870.448</v>
      </c>
      <c r="F5" s="174">
        <f>E5*F$3</f>
        <v>238.70448000000002</v>
      </c>
      <c r="G5" s="174">
        <f>E5*G$3</f>
        <v>1988.4083184000001</v>
      </c>
      <c r="H5" s="174">
        <f>B5*H$3</f>
        <v>10848.672</v>
      </c>
      <c r="I5" s="174">
        <f>B5*I$3</f>
        <v>23414.399999999998</v>
      </c>
      <c r="J5" s="174">
        <f>B5*J$3</f>
        <v>26354.207999999999</v>
      </c>
      <c r="K5" s="174">
        <f>B5*K$3</f>
        <v>20812.8</v>
      </c>
      <c r="L5" s="174">
        <f>B5*L$3</f>
        <v>2601.6</v>
      </c>
      <c r="M5" s="174">
        <f>SUM(D5:L5)</f>
        <v>396689.24079839996</v>
      </c>
      <c r="N5" s="174">
        <f>M5*12</f>
        <v>4760270.8895807993</v>
      </c>
    </row>
    <row r="6" spans="1:14" x14ac:dyDescent="0.2">
      <c r="A6" s="244" t="s">
        <v>414</v>
      </c>
      <c r="B6" s="245">
        <f t="shared" ref="B6:N6" si="0">SUM(B4:B5)</f>
        <v>650400</v>
      </c>
      <c r="C6" s="245">
        <f t="shared" si="0"/>
        <v>52800</v>
      </c>
      <c r="D6" s="245">
        <f t="shared" si="0"/>
        <v>703200</v>
      </c>
      <c r="E6" s="245">
        <f t="shared" si="0"/>
        <v>58576.56</v>
      </c>
      <c r="F6" s="245">
        <f t="shared" si="0"/>
        <v>585.76560000000006</v>
      </c>
      <c r="G6" s="245">
        <f t="shared" si="0"/>
        <v>4879.4274480000004</v>
      </c>
      <c r="H6" s="245">
        <f t="shared" si="0"/>
        <v>27121.68</v>
      </c>
      <c r="I6" s="245">
        <f t="shared" si="0"/>
        <v>58536</v>
      </c>
      <c r="J6" s="245">
        <f t="shared" si="0"/>
        <v>65885.51999999999</v>
      </c>
      <c r="K6" s="245">
        <f t="shared" si="0"/>
        <v>52032</v>
      </c>
      <c r="L6" s="245">
        <f t="shared" si="0"/>
        <v>6504</v>
      </c>
      <c r="M6" s="245">
        <f t="shared" si="0"/>
        <v>977320.95304799988</v>
      </c>
      <c r="N6" s="245">
        <f t="shared" si="0"/>
        <v>11727851.436575999</v>
      </c>
    </row>
    <row r="8" spans="1:14" ht="15.75" x14ac:dyDescent="0.25">
      <c r="A8" s="413" t="s">
        <v>452</v>
      </c>
      <c r="B8" s="413"/>
      <c r="C8" s="413"/>
      <c r="D8" s="413"/>
    </row>
    <row r="9" spans="1:14" x14ac:dyDescent="0.2">
      <c r="A9" s="416" t="s">
        <v>453</v>
      </c>
      <c r="B9" s="412" t="s">
        <v>454</v>
      </c>
      <c r="C9" s="412"/>
      <c r="D9" s="412"/>
    </row>
    <row r="10" spans="1:14" x14ac:dyDescent="0.2">
      <c r="A10" s="416"/>
      <c r="B10" s="221" t="s">
        <v>352</v>
      </c>
      <c r="C10" s="221" t="s">
        <v>416</v>
      </c>
      <c r="D10" s="221" t="s">
        <v>417</v>
      </c>
    </row>
    <row r="11" spans="1:14" x14ac:dyDescent="0.2">
      <c r="A11" s="222" t="s">
        <v>418</v>
      </c>
      <c r="B11" s="222">
        <v>3</v>
      </c>
      <c r="C11" s="223">
        <v>26000</v>
      </c>
      <c r="D11" s="223">
        <f t="shared" ref="D11:D16" si="1">B11*C11</f>
        <v>78000</v>
      </c>
    </row>
    <row r="12" spans="1:14" x14ac:dyDescent="0.2">
      <c r="A12" s="222" t="s">
        <v>419</v>
      </c>
      <c r="B12" s="222">
        <v>10</v>
      </c>
      <c r="C12" s="223">
        <v>2000</v>
      </c>
      <c r="D12" s="223">
        <f t="shared" si="1"/>
        <v>20000</v>
      </c>
    </row>
    <row r="13" spans="1:14" x14ac:dyDescent="0.2">
      <c r="A13" s="222" t="s">
        <v>420</v>
      </c>
      <c r="B13" s="222">
        <v>10</v>
      </c>
      <c r="C13" s="223">
        <v>1200</v>
      </c>
      <c r="D13" s="223">
        <f t="shared" si="1"/>
        <v>12000</v>
      </c>
    </row>
    <row r="14" spans="1:14" x14ac:dyDescent="0.2">
      <c r="A14" s="222" t="s">
        <v>455</v>
      </c>
      <c r="B14" s="222">
        <v>3</v>
      </c>
      <c r="C14" s="223">
        <v>35000</v>
      </c>
      <c r="D14" s="223">
        <f t="shared" si="1"/>
        <v>105000</v>
      </c>
    </row>
    <row r="15" spans="1:14" x14ac:dyDescent="0.2">
      <c r="A15" s="222" t="s">
        <v>456</v>
      </c>
      <c r="B15" s="222">
        <v>3</v>
      </c>
      <c r="C15" s="223">
        <v>40000</v>
      </c>
      <c r="D15" s="223">
        <f t="shared" si="1"/>
        <v>120000</v>
      </c>
    </row>
    <row r="16" spans="1:14" x14ac:dyDescent="0.2">
      <c r="A16" s="222" t="s">
        <v>421</v>
      </c>
      <c r="B16" s="222">
        <v>3</v>
      </c>
      <c r="C16" s="223">
        <v>18500</v>
      </c>
      <c r="D16" s="223">
        <f t="shared" si="1"/>
        <v>55500</v>
      </c>
    </row>
    <row r="17" spans="1:16" x14ac:dyDescent="0.2">
      <c r="A17" s="224" t="s">
        <v>105</v>
      </c>
      <c r="B17" s="224"/>
      <c r="C17" s="225"/>
      <c r="D17" s="225">
        <f>SUM(D11:D16)</f>
        <v>390500</v>
      </c>
    </row>
    <row r="19" spans="1:16" ht="20.25" x14ac:dyDescent="0.3">
      <c r="A19" s="415" t="s">
        <v>457</v>
      </c>
      <c r="B19" s="415"/>
      <c r="C19" s="415"/>
      <c r="D19" s="415"/>
      <c r="E19" s="415"/>
      <c r="F19" s="415"/>
      <c r="G19" s="415"/>
      <c r="H19" s="415"/>
      <c r="I19" s="415"/>
      <c r="J19" s="415"/>
      <c r="K19" s="415"/>
      <c r="L19" s="415"/>
      <c r="M19" s="415"/>
      <c r="N19" s="415"/>
    </row>
    <row r="20" spans="1:16" ht="45" x14ac:dyDescent="0.2">
      <c r="A20" s="166" t="s">
        <v>397</v>
      </c>
      <c r="B20" s="166" t="s">
        <v>398</v>
      </c>
      <c r="C20" s="166" t="s">
        <v>399</v>
      </c>
      <c r="D20" s="166" t="s">
        <v>400</v>
      </c>
      <c r="E20" s="215" t="s">
        <v>401</v>
      </c>
      <c r="F20" s="166" t="s">
        <v>402</v>
      </c>
      <c r="G20" s="166" t="s">
        <v>403</v>
      </c>
      <c r="H20" s="166" t="s">
        <v>404</v>
      </c>
      <c r="I20" s="166" t="s">
        <v>405</v>
      </c>
      <c r="J20" s="166" t="s">
        <v>406</v>
      </c>
      <c r="K20" s="166" t="s">
        <v>407</v>
      </c>
      <c r="L20" s="166" t="s">
        <v>408</v>
      </c>
      <c r="M20" s="166" t="s">
        <v>409</v>
      </c>
      <c r="N20" s="166" t="s">
        <v>410</v>
      </c>
    </row>
    <row r="21" spans="1:16" x14ac:dyDescent="0.2">
      <c r="A21" s="216" t="s">
        <v>411</v>
      </c>
      <c r="B21" s="166"/>
      <c r="C21" s="166"/>
      <c r="D21" s="166"/>
      <c r="E21" s="217">
        <v>8.3299999999999999E-2</v>
      </c>
      <c r="F21" s="218">
        <v>0.01</v>
      </c>
      <c r="G21" s="167">
        <v>8.3299999999999999E-2</v>
      </c>
      <c r="H21" s="165">
        <v>4.1700000000000001E-2</v>
      </c>
      <c r="I21" s="218">
        <v>0.09</v>
      </c>
      <c r="J21" s="167">
        <v>0.1013</v>
      </c>
      <c r="K21" s="218">
        <v>0.08</v>
      </c>
      <c r="L21" s="218">
        <v>0.01</v>
      </c>
      <c r="M21" s="166"/>
      <c r="N21" s="166"/>
      <c r="O21" s="249"/>
      <c r="P21" s="249"/>
    </row>
    <row r="22" spans="1:16" x14ac:dyDescent="0.2">
      <c r="A22" s="229" t="s">
        <v>458</v>
      </c>
      <c r="B22" s="250">
        <v>550000</v>
      </c>
      <c r="C22" s="250"/>
      <c r="D22" s="250">
        <f>B22+C22</f>
        <v>550000</v>
      </c>
      <c r="E22" s="250">
        <f>+D22*E21</f>
        <v>45815</v>
      </c>
      <c r="F22" s="250">
        <f>+E22*F21</f>
        <v>458.15000000000003</v>
      </c>
      <c r="G22" s="250">
        <f>+D22*G21</f>
        <v>45815</v>
      </c>
      <c r="H22" s="250">
        <f>+B22*H21</f>
        <v>22935</v>
      </c>
      <c r="I22" s="250">
        <f>+B22*I21</f>
        <v>49500</v>
      </c>
      <c r="J22" s="250">
        <f>+B22*J21</f>
        <v>55715</v>
      </c>
      <c r="K22" s="250">
        <f>+B22*K21</f>
        <v>44000</v>
      </c>
      <c r="L22" s="250">
        <f>+B22*L21</f>
        <v>5500</v>
      </c>
      <c r="M22" s="250">
        <f>SUM(D22:L22)</f>
        <v>819738.15</v>
      </c>
      <c r="N22" s="250">
        <f>M22*12</f>
        <v>9836857.8000000007</v>
      </c>
      <c r="O22" s="249"/>
      <c r="P22" s="249"/>
    </row>
    <row r="24" spans="1:16" ht="15.75" x14ac:dyDescent="0.25">
      <c r="A24" s="413" t="s">
        <v>459</v>
      </c>
      <c r="B24" s="413"/>
      <c r="C24" s="413"/>
      <c r="D24" s="413"/>
    </row>
    <row r="25" spans="1:16" x14ac:dyDescent="0.2">
      <c r="A25" s="414" t="s">
        <v>453</v>
      </c>
      <c r="B25" s="412" t="s">
        <v>454</v>
      </c>
      <c r="C25" s="412"/>
      <c r="D25" s="412"/>
    </row>
    <row r="26" spans="1:16" x14ac:dyDescent="0.2">
      <c r="A26" s="414"/>
      <c r="B26" s="166" t="s">
        <v>352</v>
      </c>
      <c r="C26" s="166" t="s">
        <v>416</v>
      </c>
      <c r="D26" s="166" t="s">
        <v>417</v>
      </c>
    </row>
    <row r="27" spans="1:16" x14ac:dyDescent="0.2">
      <c r="A27" s="227" t="s">
        <v>418</v>
      </c>
      <c r="B27" s="227">
        <v>3</v>
      </c>
      <c r="C27" s="228">
        <v>26000</v>
      </c>
      <c r="D27" s="228">
        <f>B27*C27</f>
        <v>78000</v>
      </c>
    </row>
    <row r="28" spans="1:16" x14ac:dyDescent="0.2">
      <c r="A28" s="227" t="s">
        <v>421</v>
      </c>
      <c r="B28" s="227">
        <v>3</v>
      </c>
      <c r="C28" s="228">
        <v>18500</v>
      </c>
      <c r="D28" s="228">
        <f>B28*C28</f>
        <v>55500</v>
      </c>
    </row>
    <row r="29" spans="1:16" x14ac:dyDescent="0.2">
      <c r="A29" s="229" t="s">
        <v>105</v>
      </c>
      <c r="B29" s="229"/>
      <c r="C29" s="230"/>
      <c r="D29" s="230">
        <f>SUM(D27:D28)</f>
        <v>133500</v>
      </c>
    </row>
    <row r="31" spans="1:16" x14ac:dyDescent="0.2">
      <c r="A31" s="246" t="s">
        <v>460</v>
      </c>
      <c r="B31" s="246"/>
    </row>
    <row r="32" spans="1:16" x14ac:dyDescent="0.2">
      <c r="A32" s="215" t="s">
        <v>28</v>
      </c>
      <c r="B32" s="218">
        <v>0.02</v>
      </c>
    </row>
    <row r="33" spans="1:16" x14ac:dyDescent="0.2">
      <c r="A33" s="242">
        <v>1</v>
      </c>
      <c r="B33" s="247">
        <f>Hoja1!C28*Hoja3!$B$32</f>
        <v>2952100</v>
      </c>
    </row>
    <row r="34" spans="1:16" x14ac:dyDescent="0.2">
      <c r="A34" s="242">
        <v>2</v>
      </c>
      <c r="B34" s="247">
        <f>Hoja1!D28*Hoja3!B32</f>
        <v>3386800</v>
      </c>
    </row>
    <row r="35" spans="1:16" x14ac:dyDescent="0.2">
      <c r="A35" s="242">
        <v>3</v>
      </c>
      <c r="B35" s="247">
        <f>Hoja1!E28*Hoja3!B32</f>
        <v>3854600</v>
      </c>
    </row>
    <row r="36" spans="1:16" x14ac:dyDescent="0.2">
      <c r="A36" s="242">
        <v>4</v>
      </c>
      <c r="B36" s="247">
        <f>Hoja1!F28*Hoja3!B32</f>
        <v>4367800</v>
      </c>
    </row>
    <row r="37" spans="1:16" x14ac:dyDescent="0.2">
      <c r="A37" s="251">
        <v>5</v>
      </c>
      <c r="B37" s="248">
        <f>Hoja1!G28*Hoja3!B32</f>
        <v>4757100</v>
      </c>
    </row>
    <row r="38" spans="1:16" x14ac:dyDescent="0.2">
      <c r="A38" s="242"/>
      <c r="B38" s="247"/>
    </row>
    <row r="39" spans="1:16" ht="18" x14ac:dyDescent="0.25">
      <c r="A39" s="418" t="s">
        <v>462</v>
      </c>
      <c r="B39" s="418"/>
      <c r="C39" s="418"/>
      <c r="D39" s="418"/>
    </row>
    <row r="40" spans="1:16" x14ac:dyDescent="0.2">
      <c r="A40" s="419" t="s">
        <v>463</v>
      </c>
      <c r="B40" s="388" t="s">
        <v>464</v>
      </c>
      <c r="C40" s="388"/>
      <c r="D40" s="388"/>
    </row>
    <row r="41" spans="1:16" x14ac:dyDescent="0.2">
      <c r="A41" s="419"/>
      <c r="B41" s="255" t="s">
        <v>240</v>
      </c>
      <c r="C41" s="255" t="s">
        <v>465</v>
      </c>
      <c r="D41" s="255" t="s">
        <v>466</v>
      </c>
    </row>
    <row r="42" spans="1:16" x14ac:dyDescent="0.2">
      <c r="A42" s="256" t="s">
        <v>467</v>
      </c>
      <c r="B42" s="72">
        <v>170000</v>
      </c>
      <c r="C42" s="72">
        <v>5</v>
      </c>
      <c r="D42" s="72">
        <f>B42*C42</f>
        <v>850000</v>
      </c>
    </row>
    <row r="43" spans="1:16" x14ac:dyDescent="0.2">
      <c r="A43" s="256" t="s">
        <v>468</v>
      </c>
      <c r="B43" s="72">
        <v>350000</v>
      </c>
      <c r="C43" s="72">
        <v>3</v>
      </c>
      <c r="D43" s="72">
        <f>B43*C43</f>
        <v>1050000</v>
      </c>
    </row>
    <row r="44" spans="1:16" x14ac:dyDescent="0.2">
      <c r="A44" s="256" t="s">
        <v>469</v>
      </c>
      <c r="B44" s="72">
        <v>350000</v>
      </c>
      <c r="C44" s="72">
        <v>3</v>
      </c>
      <c r="D44" s="72">
        <f>B44*C44</f>
        <v>1050000</v>
      </c>
    </row>
    <row r="45" spans="1:16" x14ac:dyDescent="0.2">
      <c r="A45" s="257" t="s">
        <v>15</v>
      </c>
      <c r="B45" s="6"/>
      <c r="C45" s="6"/>
      <c r="D45" s="149">
        <f>SUM(D42:D44)</f>
        <v>2950000</v>
      </c>
    </row>
    <row r="46" spans="1:16" x14ac:dyDescent="0.2">
      <c r="A46" s="242"/>
      <c r="B46" s="247"/>
    </row>
    <row r="47" spans="1:16" ht="20.25" x14ac:dyDescent="0.3">
      <c r="A47" s="402" t="s">
        <v>470</v>
      </c>
      <c r="B47" s="402"/>
      <c r="C47" s="402"/>
      <c r="D47" s="402"/>
      <c r="E47" s="402"/>
      <c r="F47" s="402"/>
      <c r="G47" s="402"/>
      <c r="H47" s="402"/>
      <c r="I47" s="402"/>
      <c r="J47" s="402"/>
      <c r="K47" s="402"/>
      <c r="L47" s="402"/>
      <c r="M47" s="402"/>
      <c r="N47" s="402"/>
      <c r="O47" s="402"/>
      <c r="P47" s="402"/>
    </row>
    <row r="48" spans="1:16" x14ac:dyDescent="0.2">
      <c r="A48" s="414" t="s">
        <v>471</v>
      </c>
      <c r="B48" s="412" t="s">
        <v>201</v>
      </c>
      <c r="C48" s="412"/>
      <c r="D48" s="412"/>
      <c r="E48" s="411" t="s">
        <v>202</v>
      </c>
      <c r="F48" s="411"/>
      <c r="G48" s="411"/>
      <c r="H48" s="412" t="s">
        <v>203</v>
      </c>
      <c r="I48" s="412"/>
      <c r="J48" s="412"/>
      <c r="K48" s="411" t="s">
        <v>204</v>
      </c>
      <c r="L48" s="411"/>
      <c r="M48" s="411"/>
      <c r="N48" s="412" t="s">
        <v>205</v>
      </c>
      <c r="O48" s="412"/>
      <c r="P48" s="412"/>
    </row>
    <row r="49" spans="1:16" x14ac:dyDescent="0.2">
      <c r="A49" s="414"/>
      <c r="B49" s="166" t="s">
        <v>352</v>
      </c>
      <c r="C49" s="166" t="s">
        <v>472</v>
      </c>
      <c r="D49" s="166" t="s">
        <v>354</v>
      </c>
      <c r="E49" s="166" t="s">
        <v>352</v>
      </c>
      <c r="F49" s="258" t="s">
        <v>472</v>
      </c>
      <c r="G49" s="166" t="s">
        <v>354</v>
      </c>
      <c r="H49" s="166" t="s">
        <v>352</v>
      </c>
      <c r="I49" s="258" t="s">
        <v>472</v>
      </c>
      <c r="J49" s="166" t="s">
        <v>354</v>
      </c>
      <c r="K49" s="166" t="s">
        <v>352</v>
      </c>
      <c r="L49" s="258" t="s">
        <v>472</v>
      </c>
      <c r="M49" s="166" t="s">
        <v>354</v>
      </c>
      <c r="N49" s="166" t="s">
        <v>352</v>
      </c>
      <c r="O49" s="258" t="s">
        <v>472</v>
      </c>
      <c r="P49" s="166" t="s">
        <v>354</v>
      </c>
    </row>
    <row r="50" spans="1:16" ht="15.75" x14ac:dyDescent="0.2">
      <c r="A50" s="259"/>
      <c r="B50" s="221"/>
      <c r="C50" s="221"/>
      <c r="D50" s="221"/>
      <c r="E50" s="221"/>
      <c r="F50" s="260">
        <v>0</v>
      </c>
      <c r="G50" s="221"/>
      <c r="H50" s="221"/>
      <c r="I50" s="260">
        <v>0</v>
      </c>
      <c r="J50" s="221"/>
      <c r="K50" s="221"/>
      <c r="L50" s="260">
        <v>0</v>
      </c>
      <c r="M50" s="221"/>
      <c r="N50" s="221"/>
      <c r="O50" s="261">
        <v>0</v>
      </c>
      <c r="P50" s="221"/>
    </row>
    <row r="51" spans="1:16" x14ac:dyDescent="0.2">
      <c r="A51" s="227" t="s">
        <v>473</v>
      </c>
      <c r="B51" s="228">
        <v>100</v>
      </c>
      <c r="C51" s="228">
        <v>12000</v>
      </c>
      <c r="D51" s="228">
        <f>B51*C51</f>
        <v>1200000</v>
      </c>
      <c r="E51" s="228">
        <v>100</v>
      </c>
      <c r="F51" s="228">
        <f>+C51*(1+$F$92)</f>
        <v>12000</v>
      </c>
      <c r="G51" s="228">
        <f>E51*F51</f>
        <v>1200000</v>
      </c>
      <c r="H51" s="228"/>
      <c r="I51" s="228"/>
      <c r="J51" s="228"/>
      <c r="K51" s="228"/>
      <c r="L51" s="228"/>
      <c r="M51" s="228"/>
      <c r="N51" s="228"/>
      <c r="O51" s="228"/>
      <c r="P51" s="228"/>
    </row>
    <row r="52" spans="1:16" x14ac:dyDescent="0.2">
      <c r="A52" s="227" t="s">
        <v>474</v>
      </c>
      <c r="B52" s="228">
        <v>200</v>
      </c>
      <c r="C52" s="228">
        <v>5000</v>
      </c>
      <c r="D52" s="228">
        <f>B52*C52</f>
        <v>1000000</v>
      </c>
      <c r="E52" s="228"/>
      <c r="F52" s="262">
        <f>+C52*(1+$F$92)</f>
        <v>5000</v>
      </c>
      <c r="G52" s="228"/>
      <c r="H52" s="228"/>
      <c r="I52" s="262">
        <f>+F52*(1+$I$92)</f>
        <v>5000</v>
      </c>
      <c r="J52" s="228"/>
      <c r="K52" s="228">
        <v>100</v>
      </c>
      <c r="L52" s="228">
        <f>+I52*(1+$L$92)</f>
        <v>5000</v>
      </c>
      <c r="M52" s="228">
        <f>K52*L52</f>
        <v>500000</v>
      </c>
      <c r="N52" s="228">
        <v>80</v>
      </c>
      <c r="O52" s="228">
        <f>+L52*(1+$O$92)</f>
        <v>5000</v>
      </c>
      <c r="P52" s="228">
        <f>N52*O52</f>
        <v>400000</v>
      </c>
    </row>
    <row r="53" spans="1:16" x14ac:dyDescent="0.2">
      <c r="A53" s="227" t="s">
        <v>475</v>
      </c>
      <c r="B53" s="228">
        <v>150</v>
      </c>
      <c r="C53" s="228">
        <v>8000</v>
      </c>
      <c r="D53" s="228">
        <f>B53*C53</f>
        <v>1200000</v>
      </c>
      <c r="E53" s="228"/>
      <c r="F53" s="262">
        <f>+C53*(1+$F$92)</f>
        <v>8000</v>
      </c>
      <c r="G53" s="228"/>
      <c r="H53" s="228">
        <v>100</v>
      </c>
      <c r="I53" s="228">
        <f>+F53*(1+$I$92)</f>
        <v>8000</v>
      </c>
      <c r="J53" s="228">
        <f>H53*I53</f>
        <v>800000</v>
      </c>
      <c r="K53" s="228">
        <v>40</v>
      </c>
      <c r="L53" s="228">
        <f>+I53*(1+$L$92)</f>
        <v>8000</v>
      </c>
      <c r="M53" s="228">
        <f>K53*L53</f>
        <v>320000</v>
      </c>
      <c r="N53" s="228">
        <v>50</v>
      </c>
      <c r="O53" s="228">
        <f>+L53*(1+$O$92)</f>
        <v>8000</v>
      </c>
      <c r="P53" s="228">
        <f>N53*O53</f>
        <v>400000</v>
      </c>
    </row>
    <row r="54" spans="1:16" x14ac:dyDescent="0.2">
      <c r="A54" s="227" t="s">
        <v>476</v>
      </c>
      <c r="B54" s="228"/>
      <c r="C54" s="228">
        <v>800</v>
      </c>
      <c r="D54" s="228">
        <f>B54*C54</f>
        <v>0</v>
      </c>
      <c r="E54" s="228">
        <v>100</v>
      </c>
      <c r="F54" s="228">
        <f>+C54*(1+$F$92)</f>
        <v>800</v>
      </c>
      <c r="G54" s="228">
        <f>E54*F54</f>
        <v>80000</v>
      </c>
      <c r="H54" s="228">
        <v>150</v>
      </c>
      <c r="I54" s="228">
        <f>+F54*(1+$I$92)</f>
        <v>800</v>
      </c>
      <c r="J54" s="228">
        <f>H54*I54</f>
        <v>120000</v>
      </c>
      <c r="K54" s="228">
        <v>200</v>
      </c>
      <c r="L54" s="228">
        <f>+I54*(1+$L$92)</f>
        <v>800</v>
      </c>
      <c r="M54" s="228">
        <f>K54*L54</f>
        <v>160000</v>
      </c>
      <c r="N54" s="228">
        <v>200</v>
      </c>
      <c r="O54" s="228">
        <f>+L54*(1+$O$92)</f>
        <v>800</v>
      </c>
      <c r="P54" s="228">
        <f>N54*O54</f>
        <v>160000</v>
      </c>
    </row>
    <row r="55" spans="1:16" ht="15.75" x14ac:dyDescent="0.25">
      <c r="A55" s="263" t="s">
        <v>477</v>
      </c>
      <c r="B55" s="228"/>
      <c r="C55" s="228"/>
      <c r="D55" s="228"/>
      <c r="E55" s="228"/>
      <c r="F55" s="228"/>
      <c r="G55" s="228"/>
      <c r="H55" s="228"/>
      <c r="I55" s="228"/>
      <c r="J55" s="228"/>
      <c r="K55" s="228"/>
      <c r="L55" s="228"/>
      <c r="M55" s="228"/>
      <c r="N55" s="228"/>
      <c r="O55" s="228"/>
      <c r="P55" s="228"/>
    </row>
    <row r="56" spans="1:16" x14ac:dyDescent="0.2">
      <c r="A56" s="227" t="s">
        <v>478</v>
      </c>
      <c r="B56" s="228">
        <v>300</v>
      </c>
      <c r="C56" s="228">
        <v>615</v>
      </c>
      <c r="D56" s="228">
        <f>B56*C56</f>
        <v>184500</v>
      </c>
      <c r="E56" s="228">
        <v>300</v>
      </c>
      <c r="F56" s="228">
        <f>+C56*(1+$F$92)</f>
        <v>615</v>
      </c>
      <c r="G56" s="228">
        <f>E56*F56</f>
        <v>184500</v>
      </c>
      <c r="H56" s="228">
        <v>350</v>
      </c>
      <c r="I56" s="228">
        <f>+F56*(1+$I$92)</f>
        <v>615</v>
      </c>
      <c r="J56" s="228">
        <f>H56*I56</f>
        <v>215250</v>
      </c>
      <c r="K56" s="228">
        <v>350</v>
      </c>
      <c r="L56" s="228">
        <f>+I56*(1+$L$92)</f>
        <v>615</v>
      </c>
      <c r="M56" s="228">
        <f>K56*L56</f>
        <v>215250</v>
      </c>
      <c r="N56" s="228">
        <v>350</v>
      </c>
      <c r="O56" s="228">
        <f>+L56*(1+$O$92)</f>
        <v>615</v>
      </c>
      <c r="P56" s="228">
        <f>N56*O56</f>
        <v>215250</v>
      </c>
    </row>
    <row r="57" spans="1:16" x14ac:dyDescent="0.2">
      <c r="A57" s="227" t="s">
        <v>479</v>
      </c>
      <c r="B57" s="228">
        <v>400</v>
      </c>
      <c r="C57" s="228">
        <v>440</v>
      </c>
      <c r="D57" s="228">
        <f>B57*C57</f>
        <v>176000</v>
      </c>
      <c r="E57" s="228">
        <v>500</v>
      </c>
      <c r="F57" s="228">
        <f>+C57*(1+$F$92)</f>
        <v>440</v>
      </c>
      <c r="G57" s="228">
        <f>E57*F57</f>
        <v>220000</v>
      </c>
      <c r="H57" s="228">
        <v>600</v>
      </c>
      <c r="I57" s="228">
        <f>+F57*(1+$I$92)</f>
        <v>440</v>
      </c>
      <c r="J57" s="228">
        <f>H57*I57</f>
        <v>264000</v>
      </c>
      <c r="K57" s="228">
        <v>600</v>
      </c>
      <c r="L57" s="228">
        <f>+I57*(1+$L$92)</f>
        <v>440</v>
      </c>
      <c r="M57" s="228">
        <f>K57*L57</f>
        <v>264000</v>
      </c>
      <c r="N57" s="228">
        <v>600</v>
      </c>
      <c r="O57" s="228">
        <f>+L57*(1+$O$92)</f>
        <v>440</v>
      </c>
      <c r="P57" s="228">
        <f>N57*O57</f>
        <v>264000</v>
      </c>
    </row>
    <row r="58" spans="1:16" x14ac:dyDescent="0.2">
      <c r="A58" s="227" t="s">
        <v>480</v>
      </c>
      <c r="B58" s="228">
        <v>500</v>
      </c>
      <c r="C58" s="228">
        <v>300</v>
      </c>
      <c r="D58" s="228">
        <f>B58*C58</f>
        <v>150000</v>
      </c>
      <c r="E58" s="228">
        <v>700</v>
      </c>
      <c r="F58" s="228">
        <f>+C58*(1+$F$92)</f>
        <v>300</v>
      </c>
      <c r="G58" s="228">
        <f>E58*F58</f>
        <v>210000</v>
      </c>
      <c r="H58" s="228">
        <v>800</v>
      </c>
      <c r="I58" s="228">
        <f>+F58*(1+$I$92)</f>
        <v>300</v>
      </c>
      <c r="J58" s="228">
        <f>H58*I58</f>
        <v>240000</v>
      </c>
      <c r="K58" s="228">
        <v>800</v>
      </c>
      <c r="L58" s="228">
        <f>+I58*(1+$L$92)</f>
        <v>300</v>
      </c>
      <c r="M58" s="228">
        <f>K58*L58</f>
        <v>240000</v>
      </c>
      <c r="N58" s="228">
        <v>800</v>
      </c>
      <c r="O58" s="228">
        <f>+L58*(1+$O$92)</f>
        <v>300</v>
      </c>
      <c r="P58" s="228">
        <f>N58*O58</f>
        <v>240000</v>
      </c>
    </row>
    <row r="59" spans="1:16" ht="15.75" x14ac:dyDescent="0.25">
      <c r="A59" s="263" t="s">
        <v>481</v>
      </c>
      <c r="B59" s="228"/>
      <c r="C59" s="228"/>
      <c r="D59" s="228"/>
      <c r="E59" s="228"/>
      <c r="F59" s="228"/>
      <c r="G59" s="228"/>
      <c r="H59" s="228"/>
      <c r="I59" s="228"/>
      <c r="J59" s="228"/>
      <c r="K59" s="228"/>
      <c r="L59" s="228"/>
      <c r="M59" s="228"/>
      <c r="N59" s="228"/>
      <c r="O59" s="228"/>
      <c r="P59" s="228"/>
    </row>
    <row r="60" spans="1:16" x14ac:dyDescent="0.2">
      <c r="A60" s="227" t="s">
        <v>480</v>
      </c>
      <c r="B60" s="228">
        <v>1000</v>
      </c>
      <c r="C60" s="228">
        <v>300</v>
      </c>
      <c r="D60" s="228">
        <f>B60*C60</f>
        <v>300000</v>
      </c>
      <c r="E60" s="228"/>
      <c r="F60" s="228"/>
      <c r="G60" s="228"/>
      <c r="H60" s="228"/>
      <c r="I60" s="228"/>
      <c r="J60" s="228"/>
      <c r="K60" s="228"/>
      <c r="L60" s="228"/>
      <c r="M60" s="228"/>
      <c r="N60" s="228"/>
      <c r="O60" s="228"/>
      <c r="P60" s="228"/>
    </row>
    <row r="61" spans="1:16" ht="15.75" x14ac:dyDescent="0.25">
      <c r="A61" s="263" t="s">
        <v>482</v>
      </c>
      <c r="B61" s="228"/>
      <c r="C61" s="228"/>
      <c r="D61" s="228"/>
      <c r="E61" s="228"/>
      <c r="F61" s="228"/>
      <c r="G61" s="228"/>
      <c r="H61" s="228"/>
      <c r="I61" s="228"/>
      <c r="J61" s="228"/>
      <c r="K61" s="228"/>
      <c r="L61" s="228"/>
      <c r="M61" s="228"/>
      <c r="N61" s="228"/>
      <c r="O61" s="228"/>
      <c r="P61" s="228"/>
    </row>
    <row r="62" spans="1:16" x14ac:dyDescent="0.2">
      <c r="A62" s="227" t="s">
        <v>478</v>
      </c>
      <c r="B62" s="228">
        <v>168</v>
      </c>
      <c r="C62" s="228">
        <v>595</v>
      </c>
      <c r="D62" s="228">
        <f>B62*C62</f>
        <v>99960</v>
      </c>
      <c r="E62" s="228">
        <v>204</v>
      </c>
      <c r="F62" s="228">
        <f>+C62*(1+$F$92)</f>
        <v>595</v>
      </c>
      <c r="G62" s="228">
        <f>E62*F62</f>
        <v>121380</v>
      </c>
      <c r="H62" s="228">
        <v>264</v>
      </c>
      <c r="I62" s="228">
        <f>+F62*(1+$I$92)</f>
        <v>595</v>
      </c>
      <c r="J62" s="228">
        <f>H62*I62</f>
        <v>157080</v>
      </c>
      <c r="K62" s="228">
        <v>312</v>
      </c>
      <c r="L62" s="228">
        <f>+I62*(1+$L$92)</f>
        <v>595</v>
      </c>
      <c r="M62" s="228">
        <f>K62*L62</f>
        <v>185640</v>
      </c>
      <c r="N62" s="228">
        <v>372</v>
      </c>
      <c r="O62" s="228">
        <f>+L62*(1+$O$92)</f>
        <v>595</v>
      </c>
      <c r="P62" s="228">
        <f>N62*O62</f>
        <v>221340</v>
      </c>
    </row>
    <row r="63" spans="1:16" x14ac:dyDescent="0.2">
      <c r="A63" s="227" t="s">
        <v>479</v>
      </c>
      <c r="B63" s="228">
        <v>108</v>
      </c>
      <c r="C63" s="228">
        <v>420</v>
      </c>
      <c r="D63" s="228">
        <f>B63*C63</f>
        <v>45360</v>
      </c>
      <c r="E63" s="228">
        <v>144</v>
      </c>
      <c r="F63" s="228">
        <f>+C63*(1+$F$92)</f>
        <v>420</v>
      </c>
      <c r="G63" s="228">
        <f>E63*F63</f>
        <v>60480</v>
      </c>
      <c r="H63" s="228">
        <v>180</v>
      </c>
      <c r="I63" s="228">
        <f>+F63*(1+$I$92)</f>
        <v>420</v>
      </c>
      <c r="J63" s="228">
        <f>H63*I63</f>
        <v>75600</v>
      </c>
      <c r="K63" s="228">
        <v>228</v>
      </c>
      <c r="L63" s="228">
        <f>+I63*(1+$L$92)</f>
        <v>420</v>
      </c>
      <c r="M63" s="228">
        <f>K63*L63</f>
        <v>95760</v>
      </c>
      <c r="N63" s="228">
        <v>264</v>
      </c>
      <c r="O63" s="228">
        <f>+L63*(1+$O$92)</f>
        <v>420</v>
      </c>
      <c r="P63" s="228">
        <f>N63*O63</f>
        <v>110880</v>
      </c>
    </row>
    <row r="64" spans="1:16" x14ac:dyDescent="0.2">
      <c r="A64" s="227" t="s">
        <v>480</v>
      </c>
      <c r="B64" s="228">
        <v>180</v>
      </c>
      <c r="C64" s="228">
        <v>280</v>
      </c>
      <c r="D64" s="228">
        <f>B64*C64</f>
        <v>50400</v>
      </c>
      <c r="E64" s="228">
        <v>240</v>
      </c>
      <c r="F64" s="228">
        <f>+C64*(1+$F$92)</f>
        <v>280</v>
      </c>
      <c r="G64" s="228">
        <f>E64*F64</f>
        <v>67200</v>
      </c>
      <c r="H64" s="228">
        <v>300</v>
      </c>
      <c r="I64" s="228">
        <f>+F64*(1+$I$92)</f>
        <v>280</v>
      </c>
      <c r="J64" s="228">
        <f>H64*I64</f>
        <v>84000</v>
      </c>
      <c r="K64" s="228">
        <v>372</v>
      </c>
      <c r="L64" s="228">
        <f>+I64*(1+$L$92)</f>
        <v>280</v>
      </c>
      <c r="M64" s="228">
        <f>K64*L64</f>
        <v>104160</v>
      </c>
      <c r="N64" s="228">
        <v>432</v>
      </c>
      <c r="O64" s="228">
        <f>+L64*(1+$O$92)</f>
        <v>280</v>
      </c>
      <c r="P64" s="228">
        <f>N64*O64</f>
        <v>120960</v>
      </c>
    </row>
    <row r="65" spans="1:16" ht="15.75" x14ac:dyDescent="0.25">
      <c r="A65" s="264" t="s">
        <v>105</v>
      </c>
      <c r="B65" s="230"/>
      <c r="C65" s="230"/>
      <c r="D65" s="230">
        <f>SUM(D51:D64)</f>
        <v>4406220</v>
      </c>
      <c r="E65" s="230"/>
      <c r="F65" s="230"/>
      <c r="G65" s="230">
        <f>SUM(G51:G64)</f>
        <v>2143560</v>
      </c>
      <c r="H65" s="230"/>
      <c r="I65" s="230"/>
      <c r="J65" s="230">
        <f>SUM(J51:J64)</f>
        <v>1955930</v>
      </c>
      <c r="K65" s="230"/>
      <c r="L65" s="230"/>
      <c r="M65" s="230">
        <f>SUM(M51:M64)</f>
        <v>2084810</v>
      </c>
      <c r="N65" s="230"/>
      <c r="O65" s="230"/>
      <c r="P65" s="230">
        <f>SUM(P51:P64)</f>
        <v>2132430</v>
      </c>
    </row>
    <row r="66" spans="1:16" x14ac:dyDescent="0.2">
      <c r="A66" s="242"/>
      <c r="B66" s="247"/>
    </row>
    <row r="67" spans="1:16" x14ac:dyDescent="0.2">
      <c r="A67" s="242"/>
      <c r="B67" s="247"/>
    </row>
    <row r="68" spans="1:16" x14ac:dyDescent="0.2">
      <c r="A68" s="249"/>
      <c r="B68" s="249"/>
    </row>
    <row r="69" spans="1:16" ht="27.75" customHeight="1" x14ac:dyDescent="0.2">
      <c r="A69" s="417" t="s">
        <v>461</v>
      </c>
      <c r="B69" s="417"/>
      <c r="C69" s="417"/>
      <c r="D69" s="417"/>
      <c r="E69" s="417"/>
      <c r="F69" s="417"/>
    </row>
    <row r="70" spans="1:16" ht="15.75" x14ac:dyDescent="0.25">
      <c r="A70" s="254" t="s">
        <v>433</v>
      </c>
      <c r="B70" s="269" t="s">
        <v>287</v>
      </c>
      <c r="C70" s="269" t="s">
        <v>265</v>
      </c>
      <c r="D70" s="269" t="s">
        <v>256</v>
      </c>
      <c r="E70" s="269" t="s">
        <v>257</v>
      </c>
      <c r="F70" s="270" t="s">
        <v>258</v>
      </c>
    </row>
    <row r="71" spans="1:16" x14ac:dyDescent="0.2">
      <c r="A71" s="252" t="s">
        <v>434</v>
      </c>
      <c r="B71" s="232">
        <f>$N$6</f>
        <v>11727851.436575999</v>
      </c>
      <c r="C71" s="232">
        <f t="shared" ref="C71:F71" si="2">$N$6</f>
        <v>11727851.436575999</v>
      </c>
      <c r="D71" s="232">
        <f t="shared" si="2"/>
        <v>11727851.436575999</v>
      </c>
      <c r="E71" s="232">
        <f t="shared" si="2"/>
        <v>11727851.436575999</v>
      </c>
      <c r="F71" s="232">
        <f t="shared" si="2"/>
        <v>11727851.436575999</v>
      </c>
    </row>
    <row r="72" spans="1:16" x14ac:dyDescent="0.2">
      <c r="A72" s="253" t="s">
        <v>435</v>
      </c>
      <c r="B72" s="232">
        <f>$D$17</f>
        <v>390500</v>
      </c>
      <c r="C72" s="232">
        <f t="shared" ref="C72:F72" si="3">$D$17</f>
        <v>390500</v>
      </c>
      <c r="D72" s="232">
        <f t="shared" si="3"/>
        <v>390500</v>
      </c>
      <c r="E72" s="232">
        <f t="shared" si="3"/>
        <v>390500</v>
      </c>
      <c r="F72" s="232">
        <f t="shared" si="3"/>
        <v>390500</v>
      </c>
    </row>
    <row r="73" spans="1:16" x14ac:dyDescent="0.2">
      <c r="A73" s="252" t="s">
        <v>436</v>
      </c>
      <c r="B73" s="232">
        <f>450000*12</f>
        <v>5400000</v>
      </c>
      <c r="C73" s="232">
        <f t="shared" ref="C73:F73" si="4">450000*12</f>
        <v>5400000</v>
      </c>
      <c r="D73" s="232">
        <f t="shared" si="4"/>
        <v>5400000</v>
      </c>
      <c r="E73" s="232">
        <f t="shared" si="4"/>
        <v>5400000</v>
      </c>
      <c r="F73" s="232">
        <f t="shared" si="4"/>
        <v>5400000</v>
      </c>
    </row>
    <row r="74" spans="1:16" x14ac:dyDescent="0.2">
      <c r="A74" s="252" t="s">
        <v>437</v>
      </c>
      <c r="B74" s="232">
        <f>150000*12</f>
        <v>1800000</v>
      </c>
      <c r="C74" s="232">
        <f t="shared" ref="C74:F74" si="5">150000*12</f>
        <v>1800000</v>
      </c>
      <c r="D74" s="232">
        <f t="shared" si="5"/>
        <v>1800000</v>
      </c>
      <c r="E74" s="232">
        <f t="shared" si="5"/>
        <v>1800000</v>
      </c>
      <c r="F74" s="232">
        <f t="shared" si="5"/>
        <v>1800000</v>
      </c>
    </row>
    <row r="75" spans="1:16" x14ac:dyDescent="0.2">
      <c r="A75" s="252" t="s">
        <v>438</v>
      </c>
      <c r="B75" s="242">
        <v>230000</v>
      </c>
      <c r="C75" s="242">
        <v>230000</v>
      </c>
      <c r="D75" s="242">
        <v>230000</v>
      </c>
      <c r="E75" s="242">
        <v>230000</v>
      </c>
      <c r="F75" s="242">
        <v>230000</v>
      </c>
    </row>
    <row r="76" spans="1:16" x14ac:dyDescent="0.2">
      <c r="A76" s="252" t="s">
        <v>424</v>
      </c>
      <c r="B76" s="232">
        <f>150000*12</f>
        <v>1800000</v>
      </c>
      <c r="C76" s="232">
        <f t="shared" ref="C76:F76" si="6">150000*12</f>
        <v>1800000</v>
      </c>
      <c r="D76" s="232">
        <f t="shared" si="6"/>
        <v>1800000</v>
      </c>
      <c r="E76" s="232">
        <f t="shared" si="6"/>
        <v>1800000</v>
      </c>
      <c r="F76" s="232">
        <f t="shared" si="6"/>
        <v>1800000</v>
      </c>
    </row>
    <row r="77" spans="1:16" x14ac:dyDescent="0.2">
      <c r="A77" s="252" t="s">
        <v>439</v>
      </c>
      <c r="B77" s="232">
        <f>60000*12</f>
        <v>720000</v>
      </c>
      <c r="C77" s="232">
        <f t="shared" ref="C77:F77" si="7">60000*12</f>
        <v>720000</v>
      </c>
      <c r="D77" s="232">
        <f t="shared" si="7"/>
        <v>720000</v>
      </c>
      <c r="E77" s="232">
        <f t="shared" si="7"/>
        <v>720000</v>
      </c>
      <c r="F77" s="232">
        <f t="shared" si="7"/>
        <v>720000</v>
      </c>
    </row>
    <row r="78" spans="1:16" x14ac:dyDescent="0.2">
      <c r="A78" s="252" t="s">
        <v>440</v>
      </c>
      <c r="B78" s="232">
        <v>600000</v>
      </c>
      <c r="C78" s="232">
        <v>600000</v>
      </c>
      <c r="D78" s="232">
        <v>600000</v>
      </c>
      <c r="E78" s="232">
        <v>600000</v>
      </c>
      <c r="F78" s="232">
        <v>600000</v>
      </c>
    </row>
    <row r="79" spans="1:16" x14ac:dyDescent="0.2">
      <c r="A79" s="252" t="s">
        <v>441</v>
      </c>
      <c r="B79" s="232">
        <f>120000*12</f>
        <v>1440000</v>
      </c>
      <c r="C79" s="232">
        <f t="shared" ref="C79:F79" si="8">120000*12</f>
        <v>1440000</v>
      </c>
      <c r="D79" s="232">
        <f t="shared" si="8"/>
        <v>1440000</v>
      </c>
      <c r="E79" s="232">
        <f t="shared" si="8"/>
        <v>1440000</v>
      </c>
      <c r="F79" s="232">
        <f t="shared" si="8"/>
        <v>1440000</v>
      </c>
    </row>
    <row r="80" spans="1:16" ht="31.5" x14ac:dyDescent="0.25">
      <c r="A80" s="254" t="s">
        <v>442</v>
      </c>
      <c r="B80" s="234">
        <f>SUM(B71:B79)</f>
        <v>24108351.436576001</v>
      </c>
      <c r="C80" s="234">
        <f>SUM(C71:C79)</f>
        <v>24108351.436576001</v>
      </c>
      <c r="D80" s="234">
        <f>SUM(D71:D79)</f>
        <v>24108351.436576001</v>
      </c>
      <c r="E80" s="234">
        <f>SUM(E71:E79)</f>
        <v>24108351.436576001</v>
      </c>
      <c r="F80" s="234">
        <f>SUM(F71:F79)</f>
        <v>24108351.436576001</v>
      </c>
    </row>
    <row r="81" spans="1:11" ht="15.75" x14ac:dyDescent="0.2">
      <c r="A81" s="254" t="s">
        <v>443</v>
      </c>
      <c r="B81" s="235"/>
      <c r="C81" s="235"/>
      <c r="D81" s="235"/>
      <c r="E81" s="235"/>
      <c r="F81" s="235"/>
    </row>
    <row r="82" spans="1:11" x14ac:dyDescent="0.2">
      <c r="A82" s="252" t="s">
        <v>434</v>
      </c>
      <c r="B82" s="232">
        <f>$N$22+$D$29</f>
        <v>9970357.8000000007</v>
      </c>
      <c r="C82" s="232">
        <f t="shared" ref="C82:F82" si="9">$N$22+$D$29</f>
        <v>9970357.8000000007</v>
      </c>
      <c r="D82" s="232">
        <f t="shared" si="9"/>
        <v>9970357.8000000007</v>
      </c>
      <c r="E82" s="232">
        <f t="shared" si="9"/>
        <v>9970357.8000000007</v>
      </c>
      <c r="F82" s="232">
        <f t="shared" si="9"/>
        <v>9970357.8000000007</v>
      </c>
    </row>
    <row r="83" spans="1:11" x14ac:dyDescent="0.2">
      <c r="A83" s="252" t="s">
        <v>444</v>
      </c>
      <c r="B83" s="232">
        <f>B33</f>
        <v>2952100</v>
      </c>
      <c r="C83" s="232">
        <f>B34</f>
        <v>3386800</v>
      </c>
      <c r="D83" s="232">
        <f>B35</f>
        <v>3854600</v>
      </c>
      <c r="E83" s="232">
        <f>B36</f>
        <v>4367800</v>
      </c>
      <c r="F83" s="232">
        <f>B37</f>
        <v>4757100</v>
      </c>
    </row>
    <row r="84" spans="1:11" x14ac:dyDescent="0.2">
      <c r="A84" s="252" t="s">
        <v>446</v>
      </c>
      <c r="B84" s="228">
        <f>$D$45</f>
        <v>2950000</v>
      </c>
      <c r="C84" s="228">
        <f t="shared" ref="C84:F84" si="10">$D$45</f>
        <v>2950000</v>
      </c>
      <c r="D84" s="228">
        <f t="shared" si="10"/>
        <v>2950000</v>
      </c>
      <c r="E84" s="228">
        <f t="shared" si="10"/>
        <v>2950000</v>
      </c>
      <c r="F84" s="228">
        <f t="shared" si="10"/>
        <v>2950000</v>
      </c>
    </row>
    <row r="85" spans="1:11" x14ac:dyDescent="0.2">
      <c r="A85" s="252" t="s">
        <v>447</v>
      </c>
      <c r="B85" s="228">
        <f>D65</f>
        <v>4406220</v>
      </c>
      <c r="C85" s="228">
        <f>G65</f>
        <v>2143560</v>
      </c>
      <c r="D85" s="228">
        <f>J65</f>
        <v>1955930</v>
      </c>
      <c r="E85" s="228">
        <f>M65</f>
        <v>2084810</v>
      </c>
      <c r="F85" s="228">
        <f>P65</f>
        <v>2132430</v>
      </c>
    </row>
    <row r="86" spans="1:11" ht="15.75" x14ac:dyDescent="0.25">
      <c r="A86" s="254" t="s">
        <v>448</v>
      </c>
      <c r="B86" s="243">
        <f>SUM(B82:B85)</f>
        <v>20278677.800000001</v>
      </c>
      <c r="C86" s="243">
        <f>SUM(C82:C85)</f>
        <v>18450717.800000001</v>
      </c>
      <c r="D86" s="243">
        <f>SUM(D82:D85)</f>
        <v>18730887.800000001</v>
      </c>
      <c r="E86" s="243">
        <f>SUM(E82:E85)</f>
        <v>19372967.800000001</v>
      </c>
      <c r="F86" s="243">
        <f>SUM(F82:F85)</f>
        <v>19809887.800000001</v>
      </c>
    </row>
    <row r="87" spans="1:11" ht="31.5" x14ac:dyDescent="0.2">
      <c r="A87" s="266" t="s">
        <v>483</v>
      </c>
    </row>
    <row r="88" spans="1:11" x14ac:dyDescent="0.2">
      <c r="A88" s="265" t="s">
        <v>445</v>
      </c>
      <c r="B88" s="5">
        <f>360000*12</f>
        <v>4320000</v>
      </c>
      <c r="C88" s="5">
        <f t="shared" ref="C88:F88" si="11">360000*12</f>
        <v>4320000</v>
      </c>
      <c r="D88" s="5">
        <f t="shared" si="11"/>
        <v>4320000</v>
      </c>
      <c r="E88" s="5">
        <f t="shared" si="11"/>
        <v>4320000</v>
      </c>
      <c r="F88" s="5">
        <f t="shared" si="11"/>
        <v>4320000</v>
      </c>
    </row>
    <row r="89" spans="1:11" ht="31.5" x14ac:dyDescent="0.25">
      <c r="A89" s="267" t="s">
        <v>484</v>
      </c>
      <c r="B89" s="268">
        <f>B88</f>
        <v>4320000</v>
      </c>
      <c r="C89" s="268">
        <f t="shared" ref="C89:F89" si="12">C88</f>
        <v>4320000</v>
      </c>
      <c r="D89" s="268">
        <f t="shared" si="12"/>
        <v>4320000</v>
      </c>
      <c r="E89" s="268">
        <f t="shared" si="12"/>
        <v>4320000</v>
      </c>
      <c r="F89" s="268">
        <f t="shared" si="12"/>
        <v>4320000</v>
      </c>
    </row>
    <row r="91" spans="1:11" ht="15.75" x14ac:dyDescent="0.25">
      <c r="A91" s="379" t="s">
        <v>44</v>
      </c>
      <c r="B91" s="379"/>
      <c r="C91" s="379"/>
      <c r="D91" s="379"/>
      <c r="E91" s="379"/>
      <c r="F91" s="379"/>
      <c r="G91" s="379"/>
      <c r="H91" s="238"/>
      <c r="I91" s="238"/>
    </row>
    <row r="92" spans="1:11" ht="15.75" x14ac:dyDescent="0.25">
      <c r="A92" s="391" t="s">
        <v>45</v>
      </c>
      <c r="B92" s="391"/>
      <c r="C92" s="391"/>
      <c r="D92" s="391"/>
      <c r="E92" s="391"/>
      <c r="F92" s="391"/>
      <c r="G92" s="391"/>
      <c r="H92" s="239"/>
      <c r="I92" s="239"/>
    </row>
    <row r="93" spans="1:11" x14ac:dyDescent="0.2">
      <c r="A93" s="6" t="s">
        <v>1</v>
      </c>
      <c r="B93" s="240" t="s">
        <v>2</v>
      </c>
      <c r="C93" s="410" t="s">
        <v>3</v>
      </c>
      <c r="D93" s="410"/>
      <c r="E93" s="410"/>
      <c r="F93" s="410"/>
      <c r="G93" s="410"/>
      <c r="H93" s="14"/>
      <c r="I93" s="14"/>
      <c r="J93" s="15"/>
      <c r="K93" s="15"/>
    </row>
    <row r="94" spans="1:11" x14ac:dyDescent="0.2">
      <c r="A94" s="9" t="s">
        <v>6</v>
      </c>
      <c r="B94" s="11">
        <v>1</v>
      </c>
      <c r="C94" s="11">
        <v>2</v>
      </c>
      <c r="D94" s="26">
        <v>3</v>
      </c>
      <c r="E94" s="11">
        <v>4</v>
      </c>
      <c r="F94" s="11">
        <v>5</v>
      </c>
      <c r="G94" s="11">
        <v>6</v>
      </c>
      <c r="H94" s="153"/>
      <c r="I94" s="153"/>
      <c r="J94" s="15"/>
      <c r="K94" s="15"/>
    </row>
    <row r="95" spans="1:11" x14ac:dyDescent="0.2">
      <c r="A95" s="6" t="s">
        <v>4</v>
      </c>
      <c r="B95" s="6"/>
      <c r="C95" s="10">
        <f>Hoja1!C200</f>
        <v>0.61818181818181817</v>
      </c>
      <c r="D95" s="10">
        <f>Hoja1!D200</f>
        <v>0.70909090909090911</v>
      </c>
      <c r="E95" s="10">
        <f>Hoja1!E200</f>
        <v>0.80909090909090908</v>
      </c>
      <c r="F95" s="10">
        <f>Hoja1!F200</f>
        <v>0.91818181818181821</v>
      </c>
      <c r="G95" s="10">
        <f>Hoja1!G200</f>
        <v>1</v>
      </c>
      <c r="H95" s="124"/>
      <c r="I95" s="124"/>
      <c r="J95" s="15"/>
      <c r="K95" s="15"/>
    </row>
    <row r="96" spans="1:11" x14ac:dyDescent="0.2">
      <c r="A96" s="8" t="s">
        <v>46</v>
      </c>
      <c r="C96" s="5">
        <f>Hoja1!C203</f>
        <v>69799593.035999998</v>
      </c>
      <c r="D96" s="5">
        <f>Hoja1!D203</f>
        <v>76822303.994000003</v>
      </c>
      <c r="E96" s="5">
        <f>Hoja1!E203</f>
        <v>84081331.895999998</v>
      </c>
      <c r="F96" s="5">
        <f>Hoja1!F203</f>
        <v>91530693.593999997</v>
      </c>
      <c r="G96" s="5">
        <f>Hoja1!G203</f>
        <v>99208005.274000004</v>
      </c>
      <c r="H96" s="33"/>
      <c r="I96" s="33"/>
      <c r="J96" s="15"/>
      <c r="K96" s="15"/>
    </row>
    <row r="97" spans="1:11" x14ac:dyDescent="0.2">
      <c r="A97" s="8" t="s">
        <v>47</v>
      </c>
      <c r="C97" s="5">
        <f>Hoja2!C24</f>
        <v>10443572.362879999</v>
      </c>
      <c r="D97" s="5">
        <f>Hoja2!D24</f>
        <v>10443572.362879999</v>
      </c>
      <c r="E97" s="5">
        <f>Hoja2!E24</f>
        <v>10443572.362879999</v>
      </c>
      <c r="F97" s="5">
        <f>Hoja2!F24</f>
        <v>10443572.362879999</v>
      </c>
      <c r="G97" s="5">
        <f>Hoja2!G24</f>
        <v>10443572.362879999</v>
      </c>
      <c r="H97" s="33"/>
      <c r="I97" s="33"/>
      <c r="J97" s="15"/>
      <c r="K97" s="15"/>
    </row>
    <row r="98" spans="1:11" x14ac:dyDescent="0.2">
      <c r="A98" s="8" t="s">
        <v>48</v>
      </c>
      <c r="C98" s="5">
        <f>Hoja2!C43</f>
        <v>5515462</v>
      </c>
      <c r="D98" s="5">
        <f>Hoja2!D43</f>
        <v>5515462</v>
      </c>
      <c r="E98" s="5">
        <f>Hoja2!E43</f>
        <v>5515462</v>
      </c>
      <c r="F98" s="5">
        <f>Hoja2!F43</f>
        <v>5515462</v>
      </c>
      <c r="G98" s="5">
        <f>Hoja2!G43</f>
        <v>5515462</v>
      </c>
      <c r="H98" s="33"/>
      <c r="I98" s="33"/>
      <c r="J98" s="15"/>
      <c r="K98" s="15"/>
    </row>
    <row r="99" spans="1:11" x14ac:dyDescent="0.2">
      <c r="A99" s="8" t="s">
        <v>49</v>
      </c>
      <c r="C99" s="5">
        <f>Hoja1!E91</f>
        <v>1598012.2</v>
      </c>
      <c r="D99" s="5">
        <f>Hoja1!F91</f>
        <v>1598012.2</v>
      </c>
      <c r="E99" s="5">
        <f>Hoja1!G91</f>
        <v>1598012.2</v>
      </c>
      <c r="F99" s="5">
        <f>Hoja1!H91</f>
        <v>1598012.2</v>
      </c>
      <c r="G99" s="5">
        <f>Hoja1!I91</f>
        <v>1598012.2</v>
      </c>
      <c r="H99" s="33"/>
      <c r="I99" s="33"/>
      <c r="J99" s="15"/>
      <c r="K99" s="15"/>
    </row>
    <row r="100" spans="1:11" x14ac:dyDescent="0.2">
      <c r="A100" s="9" t="s">
        <v>50</v>
      </c>
      <c r="B100" s="7"/>
      <c r="C100" s="96">
        <f>SUM(C96:C99)</f>
        <v>87356639.598880008</v>
      </c>
      <c r="D100" s="96">
        <f t="shared" ref="D100:G100" si="13">SUM(D96:D99)</f>
        <v>94379350.556880012</v>
      </c>
      <c r="E100" s="96">
        <f t="shared" si="13"/>
        <v>101638378.45887999</v>
      </c>
      <c r="F100" s="96">
        <f t="shared" si="13"/>
        <v>109087740.15688001</v>
      </c>
      <c r="G100" s="96">
        <f t="shared" si="13"/>
        <v>116765051.83688001</v>
      </c>
      <c r="H100" s="33"/>
      <c r="I100" s="33"/>
      <c r="J100" s="15"/>
      <c r="K100" s="15"/>
    </row>
    <row r="101" spans="1:11" x14ac:dyDescent="0.2">
      <c r="A101" s="8" t="s">
        <v>51</v>
      </c>
      <c r="C101" s="236">
        <f>B80</f>
        <v>24108351.436576001</v>
      </c>
      <c r="D101" s="236">
        <f t="shared" ref="D101:G101" si="14">C80</f>
        <v>24108351.436576001</v>
      </c>
      <c r="E101" s="236">
        <f t="shared" si="14"/>
        <v>24108351.436576001</v>
      </c>
      <c r="F101" s="236">
        <f t="shared" si="14"/>
        <v>24108351.436576001</v>
      </c>
      <c r="G101" s="236">
        <f t="shared" si="14"/>
        <v>24108351.436576001</v>
      </c>
      <c r="H101" s="33"/>
      <c r="I101" s="33"/>
      <c r="J101" s="15"/>
      <c r="K101" s="15"/>
    </row>
    <row r="102" spans="1:11" x14ac:dyDescent="0.2">
      <c r="A102" s="8" t="s">
        <v>52</v>
      </c>
      <c r="C102" s="236">
        <f>B86</f>
        <v>20278677.800000001</v>
      </c>
      <c r="D102" s="236">
        <f t="shared" ref="D102:G102" si="15">C86</f>
        <v>18450717.800000001</v>
      </c>
      <c r="E102" s="236">
        <f t="shared" si="15"/>
        <v>18730887.800000001</v>
      </c>
      <c r="F102" s="236">
        <f t="shared" si="15"/>
        <v>19372967.800000001</v>
      </c>
      <c r="G102" s="236">
        <f t="shared" si="15"/>
        <v>19809887.800000001</v>
      </c>
      <c r="H102" s="33"/>
      <c r="I102" s="33"/>
      <c r="J102" s="15"/>
      <c r="K102" s="15"/>
    </row>
    <row r="103" spans="1:11" x14ac:dyDescent="0.2">
      <c r="A103" s="8" t="s">
        <v>53</v>
      </c>
      <c r="C103" s="5">
        <f>B89</f>
        <v>4320000</v>
      </c>
      <c r="D103" s="5">
        <f t="shared" ref="D103:G103" si="16">C89</f>
        <v>4320000</v>
      </c>
      <c r="E103" s="5">
        <f t="shared" si="16"/>
        <v>4320000</v>
      </c>
      <c r="F103" s="5">
        <f t="shared" si="16"/>
        <v>4320000</v>
      </c>
      <c r="G103" s="5">
        <f t="shared" si="16"/>
        <v>4320000</v>
      </c>
      <c r="H103" s="33"/>
      <c r="I103" s="33"/>
      <c r="J103" s="15"/>
      <c r="K103" s="15"/>
    </row>
    <row r="104" spans="1:11" x14ac:dyDescent="0.2">
      <c r="A104" s="8" t="s">
        <v>20</v>
      </c>
      <c r="C104" s="5">
        <f>Hoja1!E127</f>
        <v>1884480</v>
      </c>
      <c r="D104" s="5">
        <f>Hoja1!F127</f>
        <v>1884480</v>
      </c>
      <c r="E104" s="5">
        <f>Hoja1!G127</f>
        <v>1884480</v>
      </c>
      <c r="F104" s="5">
        <f>Hoja1!H127</f>
        <v>1884480</v>
      </c>
      <c r="G104" s="5">
        <f>Hoja1!I127</f>
        <v>1884480</v>
      </c>
      <c r="H104" s="33"/>
      <c r="I104" s="33"/>
      <c r="J104" s="15"/>
      <c r="K104" s="15"/>
    </row>
    <row r="105" spans="1:11" x14ac:dyDescent="0.2">
      <c r="A105" s="9" t="s">
        <v>54</v>
      </c>
      <c r="B105" s="7"/>
      <c r="C105" s="146">
        <f>SUM(C101:C104)</f>
        <v>50591509.236576006</v>
      </c>
      <c r="D105" s="146">
        <f t="shared" ref="D105:G105" si="17">SUM(D101:D104)</f>
        <v>48763549.236576006</v>
      </c>
      <c r="E105" s="146">
        <f t="shared" si="17"/>
        <v>49043719.236576006</v>
      </c>
      <c r="F105" s="146">
        <f t="shared" si="17"/>
        <v>49685799.236576006</v>
      </c>
      <c r="G105" s="146">
        <f t="shared" si="17"/>
        <v>50122719.236576006</v>
      </c>
      <c r="H105" s="33"/>
      <c r="I105" s="33"/>
      <c r="J105" s="15"/>
      <c r="K105" s="15"/>
    </row>
    <row r="106" spans="1:11" x14ac:dyDescent="0.2">
      <c r="A106" s="8" t="s">
        <v>55</v>
      </c>
      <c r="C106" s="236">
        <f>C105+C100</f>
        <v>137948148.83545601</v>
      </c>
      <c r="D106" s="236">
        <f t="shared" ref="D106:G106" si="18">D105+D100</f>
        <v>143142899.79345602</v>
      </c>
      <c r="E106" s="236">
        <f t="shared" si="18"/>
        <v>150682097.695456</v>
      </c>
      <c r="F106" s="236">
        <f t="shared" si="18"/>
        <v>158773539.39345601</v>
      </c>
      <c r="G106" s="236">
        <f t="shared" si="18"/>
        <v>166887771.07345602</v>
      </c>
      <c r="H106" s="33"/>
      <c r="I106" s="33"/>
      <c r="J106" s="15"/>
      <c r="K106" s="15"/>
    </row>
    <row r="107" spans="1:11" x14ac:dyDescent="0.2">
      <c r="A107" s="8" t="s">
        <v>56</v>
      </c>
      <c r="C107" s="5">
        <f>Hoja1!C135</f>
        <v>1050000</v>
      </c>
      <c r="D107" s="5">
        <f>Hoja1!D135</f>
        <v>911646.40428406186</v>
      </c>
      <c r="E107" s="5">
        <f>Hoja1!E135</f>
        <v>744238.55346777674</v>
      </c>
      <c r="F107" s="5">
        <f>Hoja1!F135</f>
        <v>541675.0539800718</v>
      </c>
      <c r="G107" s="5">
        <f>Hoja1!G135</f>
        <v>296573.21959994885</v>
      </c>
      <c r="H107" s="15"/>
      <c r="I107" s="15"/>
      <c r="J107" s="15"/>
      <c r="K107" s="15"/>
    </row>
    <row r="108" spans="1:11" ht="30" x14ac:dyDescent="0.2">
      <c r="A108" s="24" t="s">
        <v>57</v>
      </c>
      <c r="B108" s="7"/>
      <c r="C108" s="146">
        <f>C106+C107</f>
        <v>138998148.83545601</v>
      </c>
      <c r="D108" s="146">
        <f t="shared" ref="D108:G108" si="19">D106+D107</f>
        <v>144054546.19774008</v>
      </c>
      <c r="E108" s="146">
        <f t="shared" si="19"/>
        <v>151426336.24892378</v>
      </c>
      <c r="F108" s="146">
        <f t="shared" si="19"/>
        <v>159315214.44743609</v>
      </c>
      <c r="G108" s="146">
        <f t="shared" si="19"/>
        <v>167184344.29305598</v>
      </c>
      <c r="H108" s="33"/>
      <c r="I108" s="33"/>
      <c r="J108" s="33"/>
      <c r="K108" s="15"/>
    </row>
    <row r="109" spans="1:11" ht="63" x14ac:dyDescent="0.25">
      <c r="A109" s="38" t="s">
        <v>145</v>
      </c>
      <c r="B109" s="39"/>
      <c r="C109" s="271">
        <f>C108-C99-C104-C107</f>
        <v>134465656.63545603</v>
      </c>
      <c r="D109" s="271">
        <f t="shared" ref="D109:G109" si="20">D108-D99-D104-D107</f>
        <v>139660407.59345603</v>
      </c>
      <c r="E109" s="271">
        <f t="shared" si="20"/>
        <v>147199605.49545601</v>
      </c>
      <c r="F109" s="271">
        <f t="shared" si="20"/>
        <v>155291047.19345602</v>
      </c>
      <c r="G109" s="271">
        <f t="shared" si="20"/>
        <v>163405278.87345603</v>
      </c>
      <c r="H109" s="241"/>
      <c r="I109" s="241"/>
      <c r="J109" s="33"/>
      <c r="K109" s="15"/>
    </row>
    <row r="111" spans="1:11" ht="15.75" x14ac:dyDescent="0.25">
      <c r="A111" s="379" t="s">
        <v>58</v>
      </c>
      <c r="B111" s="379"/>
      <c r="C111" s="379"/>
      <c r="D111" s="379"/>
      <c r="E111" s="379"/>
      <c r="F111" s="379"/>
      <c r="G111" s="379"/>
      <c r="H111" s="379"/>
      <c r="I111" s="237"/>
    </row>
    <row r="112" spans="1:11" ht="15.75" x14ac:dyDescent="0.25">
      <c r="A112" s="409" t="s">
        <v>59</v>
      </c>
      <c r="B112" s="409"/>
      <c r="C112" s="409"/>
      <c r="D112" s="409"/>
      <c r="E112" s="409"/>
      <c r="F112" s="409"/>
      <c r="G112" s="409"/>
      <c r="H112" s="409"/>
      <c r="I112" s="237"/>
    </row>
    <row r="113" spans="1:11" s="19" customFormat="1" ht="45" x14ac:dyDescent="0.2">
      <c r="A113" s="30"/>
      <c r="B113" s="30" t="s">
        <v>60</v>
      </c>
      <c r="C113" s="30" t="s">
        <v>61</v>
      </c>
      <c r="D113" s="408" t="s">
        <v>62</v>
      </c>
      <c r="E113" s="408"/>
      <c r="F113" s="408"/>
      <c r="G113" s="408"/>
      <c r="H113" s="408"/>
      <c r="I113" s="152"/>
      <c r="J113" s="29"/>
      <c r="K113" s="29"/>
    </row>
    <row r="114" spans="1:11" x14ac:dyDescent="0.2">
      <c r="A114" s="6"/>
      <c r="B114" s="6"/>
      <c r="C114" s="6"/>
      <c r="D114" s="6">
        <v>2</v>
      </c>
      <c r="E114" s="6">
        <v>3</v>
      </c>
      <c r="F114" s="6">
        <v>4</v>
      </c>
      <c r="G114" s="6">
        <v>5</v>
      </c>
      <c r="H114" s="6">
        <v>6</v>
      </c>
      <c r="I114" s="15"/>
    </row>
    <row r="115" spans="1:11" x14ac:dyDescent="0.2">
      <c r="A115" t="s">
        <v>46</v>
      </c>
      <c r="B115">
        <v>15</v>
      </c>
      <c r="C115">
        <v>24</v>
      </c>
      <c r="D115" s="5">
        <f>C96/$C115</f>
        <v>2908316.3764999998</v>
      </c>
      <c r="E115" s="5">
        <f t="shared" ref="E115:H115" si="21">D96/$C115</f>
        <v>3200929.3330833334</v>
      </c>
      <c r="F115" s="5">
        <f t="shared" si="21"/>
        <v>3503388.8289999999</v>
      </c>
      <c r="G115" s="5">
        <f t="shared" si="21"/>
        <v>3813778.8997499999</v>
      </c>
      <c r="H115" s="5">
        <f t="shared" si="21"/>
        <v>4133666.8864166667</v>
      </c>
      <c r="I115" s="15"/>
    </row>
    <row r="116" spans="1:11" x14ac:dyDescent="0.2">
      <c r="A116" t="s">
        <v>47</v>
      </c>
      <c r="B116">
        <v>15</v>
      </c>
      <c r="C116">
        <v>24</v>
      </c>
      <c r="D116" s="5">
        <f>C97/$C116</f>
        <v>435148.84845333331</v>
      </c>
      <c r="E116" s="5">
        <f t="shared" ref="E116:H116" si="22">D97/$C116</f>
        <v>435148.84845333331</v>
      </c>
      <c r="F116" s="5">
        <f t="shared" si="22"/>
        <v>435148.84845333331</v>
      </c>
      <c r="G116" s="5">
        <f t="shared" si="22"/>
        <v>435148.84845333331</v>
      </c>
      <c r="H116" s="5">
        <f t="shared" si="22"/>
        <v>435148.84845333331</v>
      </c>
      <c r="I116" s="15"/>
    </row>
    <row r="117" spans="1:11" x14ac:dyDescent="0.2">
      <c r="A117" t="s">
        <v>48</v>
      </c>
      <c r="B117">
        <v>15</v>
      </c>
      <c r="C117">
        <v>24</v>
      </c>
      <c r="D117" s="5">
        <f>C98/$C117</f>
        <v>229810.91666666666</v>
      </c>
      <c r="E117" s="5">
        <f t="shared" ref="E117:H117" si="23">D98/$C117</f>
        <v>229810.91666666666</v>
      </c>
      <c r="F117" s="5">
        <f t="shared" si="23"/>
        <v>229810.91666666666</v>
      </c>
      <c r="G117" s="5">
        <f t="shared" si="23"/>
        <v>229810.91666666666</v>
      </c>
      <c r="H117" s="5">
        <f t="shared" si="23"/>
        <v>229810.91666666666</v>
      </c>
      <c r="I117" s="15"/>
    </row>
    <row r="118" spans="1:11" x14ac:dyDescent="0.2">
      <c r="A118" t="s">
        <v>51</v>
      </c>
      <c r="B118">
        <v>15</v>
      </c>
      <c r="C118">
        <v>24</v>
      </c>
      <c r="D118" s="5">
        <f>C101/$C118</f>
        <v>1004514.6431906667</v>
      </c>
      <c r="E118" s="5">
        <f t="shared" ref="E118:H118" si="24">D101/$C118</f>
        <v>1004514.6431906667</v>
      </c>
      <c r="F118" s="5">
        <f t="shared" si="24"/>
        <v>1004514.6431906667</v>
      </c>
      <c r="G118" s="5">
        <f t="shared" si="24"/>
        <v>1004514.6431906667</v>
      </c>
      <c r="H118" s="5">
        <f t="shared" si="24"/>
        <v>1004514.6431906667</v>
      </c>
      <c r="I118" s="15"/>
    </row>
    <row r="119" spans="1:11" x14ac:dyDescent="0.2">
      <c r="A119" t="s">
        <v>52</v>
      </c>
      <c r="B119">
        <v>15</v>
      </c>
      <c r="C119">
        <v>24</v>
      </c>
      <c r="D119" s="5">
        <f>C102/$C119</f>
        <v>844944.90833333333</v>
      </c>
      <c r="E119" s="5">
        <f t="shared" ref="E119:H119" si="25">D102/$C119</f>
        <v>768779.90833333333</v>
      </c>
      <c r="F119" s="5">
        <f t="shared" si="25"/>
        <v>780453.65833333333</v>
      </c>
      <c r="G119" s="5">
        <f t="shared" si="25"/>
        <v>807206.9916666667</v>
      </c>
      <c r="H119" s="5">
        <f t="shared" si="25"/>
        <v>825411.9916666667</v>
      </c>
      <c r="I119" s="33"/>
    </row>
    <row r="120" spans="1:11" x14ac:dyDescent="0.2">
      <c r="A120" t="s">
        <v>53</v>
      </c>
      <c r="B120">
        <v>15</v>
      </c>
      <c r="C120">
        <v>24</v>
      </c>
      <c r="D120" s="5">
        <f>C103/$C120</f>
        <v>180000</v>
      </c>
      <c r="E120" s="5">
        <f t="shared" ref="E120:H120" si="26">D103/$C120</f>
        <v>180000</v>
      </c>
      <c r="F120" s="5">
        <f t="shared" si="26"/>
        <v>180000</v>
      </c>
      <c r="G120" s="5">
        <f t="shared" si="26"/>
        <v>180000</v>
      </c>
      <c r="H120" s="5">
        <f t="shared" si="26"/>
        <v>180000</v>
      </c>
      <c r="I120" s="15"/>
    </row>
    <row r="121" spans="1:11" ht="30" x14ac:dyDescent="0.2">
      <c r="A121" s="28" t="s">
        <v>63</v>
      </c>
      <c r="B121" s="7"/>
      <c r="C121" s="7"/>
      <c r="D121" s="96">
        <f>SUM(D115:D120)</f>
        <v>5602735.6931439992</v>
      </c>
      <c r="E121" s="96">
        <f t="shared" ref="E121:H121" si="27">SUM(E115:E120)</f>
        <v>5819183.6497273333</v>
      </c>
      <c r="F121" s="96">
        <f t="shared" si="27"/>
        <v>6133316.8956439998</v>
      </c>
      <c r="G121" s="96">
        <f t="shared" si="27"/>
        <v>6470460.2997273337</v>
      </c>
      <c r="H121" s="96">
        <f t="shared" si="27"/>
        <v>6808553.2863940001</v>
      </c>
      <c r="I121" s="15"/>
    </row>
    <row r="123" spans="1:11" ht="15.75" x14ac:dyDescent="0.25">
      <c r="A123" s="237" t="s">
        <v>64</v>
      </c>
      <c r="B123" s="16"/>
      <c r="C123" s="16"/>
      <c r="D123" s="16"/>
      <c r="E123" s="16"/>
      <c r="F123" s="16"/>
      <c r="G123" s="16"/>
      <c r="H123" s="16"/>
      <c r="I123" s="16"/>
    </row>
    <row r="124" spans="1:11" ht="15.75" x14ac:dyDescent="0.25">
      <c r="A124" s="22" t="s">
        <v>65</v>
      </c>
      <c r="B124" s="22"/>
      <c r="C124" s="22"/>
      <c r="D124" s="22"/>
      <c r="E124" s="22"/>
      <c r="F124" s="22"/>
      <c r="G124" s="22"/>
      <c r="H124" s="22"/>
      <c r="I124" s="22"/>
    </row>
    <row r="125" spans="1:11" ht="45" x14ac:dyDescent="0.2">
      <c r="A125" s="30"/>
      <c r="B125" s="30" t="s">
        <v>60</v>
      </c>
      <c r="C125" s="30" t="s">
        <v>61</v>
      </c>
      <c r="D125" s="408" t="s">
        <v>62</v>
      </c>
      <c r="E125" s="408"/>
      <c r="F125" s="408"/>
      <c r="G125" s="408"/>
      <c r="H125" s="408"/>
      <c r="I125" s="152"/>
    </row>
    <row r="126" spans="1:11" x14ac:dyDescent="0.2">
      <c r="A126" s="6"/>
      <c r="B126" s="6"/>
      <c r="C126" s="6"/>
      <c r="D126" s="6">
        <v>2</v>
      </c>
      <c r="E126" s="6">
        <v>3</v>
      </c>
      <c r="F126" s="6">
        <v>4</v>
      </c>
      <c r="G126" s="6">
        <v>5</v>
      </c>
      <c r="H126" s="6">
        <v>6</v>
      </c>
      <c r="I126" s="15"/>
    </row>
    <row r="127" spans="1:11" x14ac:dyDescent="0.2">
      <c r="A127" t="s">
        <v>66</v>
      </c>
      <c r="I127" s="15"/>
    </row>
    <row r="128" spans="1:11" x14ac:dyDescent="0.2">
      <c r="A128" t="s">
        <v>67</v>
      </c>
      <c r="D128" s="5">
        <f>D121</f>
        <v>5602735.6931439992</v>
      </c>
      <c r="E128" s="5">
        <f>E121</f>
        <v>5819183.6497273333</v>
      </c>
      <c r="F128" s="5">
        <f>F121</f>
        <v>6133316.8956439998</v>
      </c>
      <c r="G128" s="5">
        <f>G121</f>
        <v>6470460.2997273337</v>
      </c>
      <c r="H128" s="5">
        <f>H121</f>
        <v>6808553.2863940001</v>
      </c>
      <c r="I128" s="72"/>
    </row>
    <row r="129" spans="1:9" x14ac:dyDescent="0.2">
      <c r="A129" t="s">
        <v>68</v>
      </c>
      <c r="B129">
        <v>30</v>
      </c>
      <c r="C129">
        <v>12</v>
      </c>
      <c r="D129" s="5">
        <f>C106/$C129</f>
        <v>11495679.069621334</v>
      </c>
      <c r="E129" s="5">
        <f t="shared" ref="E129:H129" si="28">D106/$C129</f>
        <v>11928574.982788002</v>
      </c>
      <c r="F129" s="5">
        <f t="shared" si="28"/>
        <v>12556841.474621333</v>
      </c>
      <c r="G129" s="5">
        <f t="shared" si="28"/>
        <v>13231128.282788001</v>
      </c>
      <c r="H129" s="5">
        <f t="shared" si="28"/>
        <v>13907314.256121336</v>
      </c>
      <c r="I129" s="72"/>
    </row>
    <row r="130" spans="1:9" x14ac:dyDescent="0.2">
      <c r="A130" t="s">
        <v>69</v>
      </c>
      <c r="D130" s="5"/>
      <c r="E130" s="5"/>
      <c r="F130" s="5"/>
      <c r="G130" s="5"/>
      <c r="H130" s="5"/>
      <c r="I130" s="72"/>
    </row>
    <row r="131" spans="1:9" x14ac:dyDescent="0.2">
      <c r="A131" t="s">
        <v>70</v>
      </c>
      <c r="B131">
        <v>30</v>
      </c>
      <c r="C131">
        <v>12</v>
      </c>
      <c r="D131" s="5">
        <f>C96/$C131</f>
        <v>5816632.7529999996</v>
      </c>
      <c r="E131" s="5">
        <f t="shared" ref="E131:H131" si="29">D96/$C131</f>
        <v>6401858.6661666669</v>
      </c>
      <c r="F131" s="5">
        <f t="shared" si="29"/>
        <v>7006777.6579999998</v>
      </c>
      <c r="G131" s="5">
        <f t="shared" si="29"/>
        <v>7627557.7994999997</v>
      </c>
      <c r="H131" s="5">
        <f t="shared" si="29"/>
        <v>8267333.7728333334</v>
      </c>
      <c r="I131" s="72"/>
    </row>
    <row r="132" spans="1:9" x14ac:dyDescent="0.2">
      <c r="A132" t="s">
        <v>71</v>
      </c>
      <c r="B132">
        <v>9</v>
      </c>
      <c r="C132">
        <v>40</v>
      </c>
      <c r="D132" s="5">
        <f>C100/$C132</f>
        <v>2183915.989972</v>
      </c>
      <c r="E132" s="5">
        <f t="shared" ref="E132:H132" si="30">D100/$C132</f>
        <v>2359483.7639220003</v>
      </c>
      <c r="F132" s="5">
        <f t="shared" si="30"/>
        <v>2540959.461472</v>
      </c>
      <c r="G132" s="5">
        <f t="shared" si="30"/>
        <v>2727193.5039220001</v>
      </c>
      <c r="H132" s="5">
        <f t="shared" si="30"/>
        <v>2919126.2959220004</v>
      </c>
      <c r="I132" s="72"/>
    </row>
    <row r="133" spans="1:9" x14ac:dyDescent="0.2">
      <c r="A133" t="s">
        <v>72</v>
      </c>
      <c r="B133">
        <v>15</v>
      </c>
      <c r="C133">
        <v>24</v>
      </c>
      <c r="D133" s="5">
        <f>(C100+C101)/$C133</f>
        <v>4644374.6264773337</v>
      </c>
      <c r="E133" s="5">
        <f t="shared" ref="E133:H133" si="31">(D100+D101)/$C133</f>
        <v>4936987.5830606669</v>
      </c>
      <c r="F133" s="5">
        <f t="shared" si="31"/>
        <v>5239447.0789773325</v>
      </c>
      <c r="G133" s="5">
        <f t="shared" si="31"/>
        <v>5549837.1497273333</v>
      </c>
      <c r="H133" s="5">
        <f t="shared" si="31"/>
        <v>5869725.1363940006</v>
      </c>
      <c r="I133" s="72"/>
    </row>
    <row r="134" spans="1:9" ht="15.75" x14ac:dyDescent="0.25">
      <c r="A134" s="157" t="s">
        <v>73</v>
      </c>
      <c r="B134" s="157"/>
      <c r="C134" s="157"/>
      <c r="D134" s="214">
        <f>SUM(D128:D133)</f>
        <v>29743338.132214665</v>
      </c>
      <c r="E134" s="214">
        <f t="shared" ref="E134:H134" si="32">SUM(E128:E133)</f>
        <v>31446088.64566467</v>
      </c>
      <c r="F134" s="214">
        <f t="shared" si="32"/>
        <v>33477342.568714667</v>
      </c>
      <c r="G134" s="214">
        <f t="shared" si="32"/>
        <v>35606177.03566467</v>
      </c>
      <c r="H134" s="214">
        <f t="shared" si="32"/>
        <v>37772052.747664668</v>
      </c>
      <c r="I134" s="72"/>
    </row>
    <row r="135" spans="1:9" ht="15.75" x14ac:dyDescent="0.25">
      <c r="A135" s="212" t="s">
        <v>74</v>
      </c>
      <c r="B135" s="212"/>
      <c r="C135" s="212"/>
      <c r="D135" s="213">
        <f>D134</f>
        <v>29743338.132214665</v>
      </c>
      <c r="E135" s="213">
        <f>E134-D134</f>
        <v>1702750.5134500042</v>
      </c>
      <c r="F135" s="213">
        <f t="shared" ref="F135:H135" si="33">F134-E134</f>
        <v>2031253.9230499975</v>
      </c>
      <c r="G135" s="213">
        <f t="shared" si="33"/>
        <v>2128834.4669500031</v>
      </c>
      <c r="H135" s="213">
        <f t="shared" si="33"/>
        <v>2165875.7119999975</v>
      </c>
      <c r="I135" s="72"/>
    </row>
    <row r="136" spans="1:9" x14ac:dyDescent="0.2">
      <c r="A136" s="8" t="s">
        <v>75</v>
      </c>
      <c r="D136" s="5"/>
      <c r="E136" s="5"/>
      <c r="F136" s="5"/>
      <c r="G136" s="5"/>
      <c r="H136" s="5"/>
      <c r="I136" s="72"/>
    </row>
    <row r="137" spans="1:9" x14ac:dyDescent="0.2">
      <c r="A137" s="8" t="s">
        <v>76</v>
      </c>
      <c r="I137" s="15"/>
    </row>
    <row r="138" spans="1:9" x14ac:dyDescent="0.2">
      <c r="A138" s="8" t="s">
        <v>77</v>
      </c>
      <c r="B138">
        <v>45</v>
      </c>
      <c r="C138">
        <v>8</v>
      </c>
      <c r="D138" s="5">
        <f>ROUND((C96/$C138),2)</f>
        <v>8724949.1300000008</v>
      </c>
      <c r="E138" s="5">
        <f t="shared" ref="E138:H138" si="34">ROUND((D96/$C138),2)</f>
        <v>9602788</v>
      </c>
      <c r="F138" s="5">
        <f t="shared" si="34"/>
        <v>10510166.49</v>
      </c>
      <c r="G138" s="5">
        <f t="shared" si="34"/>
        <v>11441336.699999999</v>
      </c>
      <c r="H138" s="5">
        <f t="shared" si="34"/>
        <v>12401000.66</v>
      </c>
      <c r="I138" s="15"/>
    </row>
    <row r="139" spans="1:9" x14ac:dyDescent="0.2">
      <c r="A139" s="8" t="s">
        <v>78</v>
      </c>
      <c r="D139" s="5"/>
      <c r="E139" s="5"/>
      <c r="F139" s="5"/>
      <c r="G139" s="5"/>
      <c r="H139" s="5"/>
    </row>
    <row r="140" spans="1:9" x14ac:dyDescent="0.2">
      <c r="A140" s="8" t="s">
        <v>79</v>
      </c>
      <c r="D140" s="5"/>
      <c r="E140" s="5"/>
      <c r="F140" s="5"/>
      <c r="G140" s="5"/>
      <c r="H140" s="5"/>
    </row>
    <row r="141" spans="1:9" x14ac:dyDescent="0.2">
      <c r="A141" s="8" t="s">
        <v>80</v>
      </c>
      <c r="D141" s="5"/>
      <c r="E141" s="5"/>
      <c r="F141" s="5"/>
      <c r="G141" s="5"/>
      <c r="H141" s="5"/>
    </row>
    <row r="142" spans="1:9" x14ac:dyDescent="0.2">
      <c r="A142" s="8" t="s">
        <v>81</v>
      </c>
      <c r="D142" s="5"/>
      <c r="E142" s="5"/>
      <c r="F142" s="5"/>
      <c r="G142" s="5"/>
      <c r="H142" s="5"/>
    </row>
    <row r="143" spans="1:9" x14ac:dyDescent="0.2">
      <c r="A143" s="8" t="s">
        <v>82</v>
      </c>
      <c r="D143" s="5"/>
      <c r="E143" s="5"/>
      <c r="F143" s="5"/>
      <c r="G143" s="5"/>
      <c r="H143" s="5"/>
    </row>
    <row r="144" spans="1:9" x14ac:dyDescent="0.2">
      <c r="A144" s="8" t="s">
        <v>83</v>
      </c>
      <c r="D144" s="96">
        <f>D138</f>
        <v>8724949.1300000008</v>
      </c>
      <c r="E144" s="96">
        <f t="shared" ref="E144:H144" si="35">E138</f>
        <v>9602788</v>
      </c>
      <c r="F144" s="96">
        <f t="shared" si="35"/>
        <v>10510166.49</v>
      </c>
      <c r="G144" s="96">
        <f t="shared" si="35"/>
        <v>11441336.699999999</v>
      </c>
      <c r="H144" s="96">
        <f t="shared" si="35"/>
        <v>12401000.66</v>
      </c>
      <c r="I144" s="15"/>
    </row>
    <row r="145" spans="1:9" ht="15.75" x14ac:dyDescent="0.25">
      <c r="A145" s="272" t="s">
        <v>84</v>
      </c>
      <c r="B145" s="157"/>
      <c r="C145" s="157"/>
      <c r="D145" s="214">
        <f>D144</f>
        <v>8724949.1300000008</v>
      </c>
      <c r="E145" s="214">
        <f>E144-D144</f>
        <v>877838.86999999918</v>
      </c>
      <c r="F145" s="214">
        <f t="shared" ref="F145:H145" si="36">F144-E144</f>
        <v>907378.49000000022</v>
      </c>
      <c r="G145" s="214">
        <f t="shared" si="36"/>
        <v>931170.20999999903</v>
      </c>
      <c r="H145" s="214">
        <f t="shared" si="36"/>
        <v>959663.96000000089</v>
      </c>
      <c r="I145" s="15"/>
    </row>
    <row r="146" spans="1:9" ht="30" x14ac:dyDescent="0.2">
      <c r="A146" s="31" t="s">
        <v>85</v>
      </c>
      <c r="D146" s="5">
        <f>D134-D144</f>
        <v>21018389.002214663</v>
      </c>
      <c r="E146" s="5">
        <f t="shared" ref="E146:H146" si="37">E134-E144</f>
        <v>21843300.64566467</v>
      </c>
      <c r="F146" s="5">
        <f t="shared" si="37"/>
        <v>22967176.078714669</v>
      </c>
      <c r="G146" s="5">
        <f t="shared" si="37"/>
        <v>24164840.335664671</v>
      </c>
      <c r="H146" s="5">
        <f t="shared" si="37"/>
        <v>25371052.087664668</v>
      </c>
      <c r="I146" s="15"/>
    </row>
    <row r="147" spans="1:9" ht="15.75" x14ac:dyDescent="0.25">
      <c r="A147" s="273" t="s">
        <v>86</v>
      </c>
      <c r="B147" s="212"/>
      <c r="C147" s="212"/>
      <c r="D147" s="213">
        <f>D146</f>
        <v>21018389.002214663</v>
      </c>
      <c r="E147" s="213">
        <f>E146-D146</f>
        <v>824911.64345000684</v>
      </c>
      <c r="F147" s="213">
        <f t="shared" ref="F147:H147" si="38">F146-E146</f>
        <v>1123875.4330499992</v>
      </c>
      <c r="G147" s="213">
        <f t="shared" si="38"/>
        <v>1197664.2569500022</v>
      </c>
      <c r="H147" s="213">
        <f t="shared" si="38"/>
        <v>1206211.7519999966</v>
      </c>
      <c r="I147" s="33"/>
    </row>
  </sheetData>
  <mergeCells count="26">
    <mergeCell ref="A24:D24"/>
    <mergeCell ref="A25:A26"/>
    <mergeCell ref="B25:D25"/>
    <mergeCell ref="D125:H125"/>
    <mergeCell ref="A1:N1"/>
    <mergeCell ref="A8:D8"/>
    <mergeCell ref="A9:A10"/>
    <mergeCell ref="B9:D9"/>
    <mergeCell ref="A19:N19"/>
    <mergeCell ref="A69:F69"/>
    <mergeCell ref="A39:D39"/>
    <mergeCell ref="A40:A41"/>
    <mergeCell ref="B40:D40"/>
    <mergeCell ref="A47:P47"/>
    <mergeCell ref="A48:A49"/>
    <mergeCell ref="B48:D48"/>
    <mergeCell ref="E48:G48"/>
    <mergeCell ref="H48:J48"/>
    <mergeCell ref="K48:M48"/>
    <mergeCell ref="N48:P48"/>
    <mergeCell ref="A91:G91"/>
    <mergeCell ref="A92:G92"/>
    <mergeCell ref="D113:H113"/>
    <mergeCell ref="A111:H111"/>
    <mergeCell ref="A112:H112"/>
    <mergeCell ref="C93:G93"/>
  </mergeCells>
  <pageMargins left="0.7" right="0.7" top="0.75" bottom="0.75" header="0.3" footer="0.3"/>
  <ignoredErrors>
    <ignoredError sqref="D146:H14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8"/>
  <sheetViews>
    <sheetView workbookViewId="0">
      <selection activeCell="C16" sqref="C16:G16"/>
    </sheetView>
  </sheetViews>
  <sheetFormatPr baseColWidth="10" defaultRowHeight="15" x14ac:dyDescent="0.2"/>
  <cols>
    <col min="1" max="1" width="23.44140625" customWidth="1"/>
  </cols>
  <sheetData>
    <row r="1" spans="1:7" ht="15.75" x14ac:dyDescent="0.25">
      <c r="A1" s="379" t="s">
        <v>87</v>
      </c>
      <c r="B1" s="379"/>
      <c r="C1" s="379"/>
      <c r="D1" s="379"/>
      <c r="E1" s="379"/>
      <c r="F1" s="379"/>
      <c r="G1" s="379"/>
    </row>
    <row r="2" spans="1:7" ht="24" customHeight="1" x14ac:dyDescent="0.2">
      <c r="A2" s="417" t="s">
        <v>88</v>
      </c>
      <c r="B2" s="417"/>
      <c r="C2" s="417"/>
      <c r="D2" s="417"/>
      <c r="E2" s="417"/>
      <c r="F2" s="417"/>
      <c r="G2" s="417"/>
    </row>
    <row r="3" spans="1:7" x14ac:dyDescent="0.2">
      <c r="A3" s="410" t="s">
        <v>9</v>
      </c>
      <c r="B3" s="410"/>
      <c r="C3" s="410"/>
      <c r="D3" s="410"/>
      <c r="E3" s="410"/>
      <c r="F3" s="410"/>
      <c r="G3" s="410"/>
    </row>
    <row r="4" spans="1:7" x14ac:dyDescent="0.2">
      <c r="A4" s="7" t="s">
        <v>1</v>
      </c>
      <c r="B4" s="61" t="s">
        <v>2</v>
      </c>
      <c r="C4" s="388" t="s">
        <v>3</v>
      </c>
      <c r="D4" s="388"/>
      <c r="E4" s="388"/>
      <c r="F4" s="388"/>
      <c r="G4" s="388"/>
    </row>
    <row r="5" spans="1:7" x14ac:dyDescent="0.2">
      <c r="A5" s="9" t="s">
        <v>6</v>
      </c>
      <c r="B5" s="11">
        <v>1</v>
      </c>
      <c r="C5" s="11">
        <v>2</v>
      </c>
      <c r="D5" s="26">
        <v>3</v>
      </c>
      <c r="E5" s="11">
        <v>4</v>
      </c>
      <c r="F5" s="11">
        <v>5</v>
      </c>
      <c r="G5" s="11">
        <v>6</v>
      </c>
    </row>
    <row r="6" spans="1:7" x14ac:dyDescent="0.2">
      <c r="A6" s="6" t="s">
        <v>4</v>
      </c>
      <c r="B6" s="6"/>
      <c r="C6" s="6"/>
      <c r="D6" s="10">
        <v>0.6</v>
      </c>
      <c r="E6" s="10">
        <v>0.8</v>
      </c>
      <c r="F6" s="10">
        <v>1</v>
      </c>
      <c r="G6" s="10">
        <v>1</v>
      </c>
    </row>
    <row r="7" spans="1:7" x14ac:dyDescent="0.2">
      <c r="A7" s="8" t="s">
        <v>89</v>
      </c>
    </row>
    <row r="8" spans="1:7" x14ac:dyDescent="0.2">
      <c r="A8" s="8" t="s">
        <v>90</v>
      </c>
    </row>
    <row r="9" spans="1:7" x14ac:dyDescent="0.2">
      <c r="A9" s="8" t="s">
        <v>91</v>
      </c>
      <c r="B9" s="3"/>
      <c r="C9" s="3"/>
    </row>
    <row r="10" spans="1:7" x14ac:dyDescent="0.2">
      <c r="A10" s="8" t="s">
        <v>92</v>
      </c>
      <c r="B10" s="3"/>
      <c r="C10" s="3"/>
    </row>
    <row r="11" spans="1:7" x14ac:dyDescent="0.2">
      <c r="A11" s="8" t="s">
        <v>93</v>
      </c>
      <c r="B11" s="5">
        <f>Hoja1!B86</f>
        <v>5773122</v>
      </c>
      <c r="C11" s="5"/>
      <c r="D11" s="5"/>
      <c r="E11" s="5"/>
      <c r="F11" s="5"/>
      <c r="G11" s="5"/>
    </row>
    <row r="12" spans="1:7" x14ac:dyDescent="0.2">
      <c r="A12" s="8" t="s">
        <v>94</v>
      </c>
      <c r="B12" s="5"/>
      <c r="C12" s="5"/>
      <c r="D12" s="5"/>
      <c r="E12" s="5"/>
      <c r="F12" s="5"/>
      <c r="G12" s="5"/>
    </row>
    <row r="13" spans="1:7" x14ac:dyDescent="0.2">
      <c r="A13" s="8" t="s">
        <v>485</v>
      </c>
      <c r="B13" s="5">
        <f>Hoja1!B88</f>
        <v>5103500</v>
      </c>
      <c r="C13" s="5"/>
      <c r="D13" s="5"/>
      <c r="E13" s="5"/>
      <c r="F13" s="5"/>
      <c r="G13" s="5"/>
    </row>
    <row r="14" spans="1:7" x14ac:dyDescent="0.2">
      <c r="A14" s="8" t="s">
        <v>95</v>
      </c>
      <c r="B14" s="96">
        <f>SUM(B9:B13)</f>
        <v>10876622</v>
      </c>
      <c r="C14" s="96">
        <f t="shared" ref="C14:G14" si="0">SUM(C9:C13)</f>
        <v>0</v>
      </c>
      <c r="D14" s="96">
        <f t="shared" si="0"/>
        <v>0</v>
      </c>
      <c r="E14" s="96">
        <f t="shared" si="0"/>
        <v>0</v>
      </c>
      <c r="F14" s="96">
        <f t="shared" si="0"/>
        <v>0</v>
      </c>
      <c r="G14" s="96">
        <f t="shared" si="0"/>
        <v>0</v>
      </c>
    </row>
    <row r="15" spans="1:7" x14ac:dyDescent="0.2">
      <c r="A15" s="8" t="s">
        <v>96</v>
      </c>
      <c r="B15" s="5">
        <f>Hoja1!B127</f>
        <v>9422400</v>
      </c>
      <c r="C15" s="5"/>
      <c r="D15" s="5"/>
      <c r="E15" s="5"/>
      <c r="F15" s="5"/>
      <c r="G15" s="5"/>
    </row>
    <row r="16" spans="1:7" ht="30" x14ac:dyDescent="0.2">
      <c r="A16" s="23" t="s">
        <v>97</v>
      </c>
      <c r="C16" s="5">
        <f>Hoja3!D147</f>
        <v>21018389.002214663</v>
      </c>
      <c r="D16" s="5">
        <f>Hoja3!E147</f>
        <v>824911.64345000684</v>
      </c>
      <c r="E16" s="5">
        <f>Hoja3!F147</f>
        <v>1123875.4330499992</v>
      </c>
      <c r="F16" s="5">
        <f>Hoja3!G147</f>
        <v>1197664.2569500022</v>
      </c>
      <c r="G16" s="5">
        <f>Hoja3!H147</f>
        <v>1206211.7519999966</v>
      </c>
    </row>
    <row r="17" spans="1:7" x14ac:dyDescent="0.2">
      <c r="A17" s="9" t="s">
        <v>98</v>
      </c>
      <c r="B17" s="96">
        <f>B14+B15+B16</f>
        <v>20299022</v>
      </c>
      <c r="C17" s="96">
        <f t="shared" ref="C17:G17" si="1">C14+C15+C16</f>
        <v>21018389.002214663</v>
      </c>
      <c r="D17" s="96">
        <f t="shared" si="1"/>
        <v>824911.64345000684</v>
      </c>
      <c r="E17" s="96">
        <f t="shared" si="1"/>
        <v>1123875.4330499992</v>
      </c>
      <c r="F17" s="96">
        <f t="shared" si="1"/>
        <v>1197664.2569500022</v>
      </c>
      <c r="G17" s="96">
        <f t="shared" si="1"/>
        <v>1206211.7519999966</v>
      </c>
    </row>
    <row r="18" spans="1:7" x14ac:dyDescent="0.2">
      <c r="B18" s="5"/>
      <c r="C18" s="5"/>
      <c r="D18" s="5"/>
      <c r="E18" s="5"/>
      <c r="F18" s="5"/>
      <c r="G18" s="5"/>
    </row>
  </sheetData>
  <mergeCells count="4">
    <mergeCell ref="A1:G1"/>
    <mergeCell ref="A2:G2"/>
    <mergeCell ref="A3:G3"/>
    <mergeCell ref="C4: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31"/>
  <sheetViews>
    <sheetView workbookViewId="0">
      <selection activeCell="A2" sqref="A2:G2"/>
    </sheetView>
  </sheetViews>
  <sheetFormatPr baseColWidth="10" defaultRowHeight="15" x14ac:dyDescent="0.2"/>
  <cols>
    <col min="1" max="1" width="28.5546875" customWidth="1"/>
  </cols>
  <sheetData>
    <row r="1" spans="1:9" ht="15.75" x14ac:dyDescent="0.25">
      <c r="A1" s="379" t="s">
        <v>99</v>
      </c>
      <c r="B1" s="379"/>
      <c r="C1" s="379"/>
      <c r="D1" s="379"/>
      <c r="E1" s="379"/>
      <c r="F1" s="379"/>
      <c r="G1" s="379"/>
      <c r="H1" s="16"/>
      <c r="I1" s="16"/>
    </row>
    <row r="2" spans="1:9" ht="15.75" x14ac:dyDescent="0.25">
      <c r="A2" s="380" t="s">
        <v>100</v>
      </c>
      <c r="B2" s="380"/>
      <c r="C2" s="380"/>
      <c r="D2" s="380"/>
      <c r="E2" s="380"/>
      <c r="F2" s="380"/>
      <c r="G2" s="380"/>
      <c r="H2" s="22"/>
      <c r="I2" s="22"/>
    </row>
    <row r="3" spans="1:9" x14ac:dyDescent="0.2">
      <c r="A3" s="7" t="s">
        <v>1</v>
      </c>
      <c r="B3" s="155" t="s">
        <v>2</v>
      </c>
      <c r="C3" s="155" t="s">
        <v>3</v>
      </c>
      <c r="D3" s="7"/>
      <c r="E3" s="155"/>
      <c r="F3" s="155"/>
      <c r="G3" s="155"/>
      <c r="H3" s="14"/>
      <c r="I3" s="14"/>
    </row>
    <row r="4" spans="1:9" x14ac:dyDescent="0.2">
      <c r="A4" s="9" t="s">
        <v>6</v>
      </c>
      <c r="B4" s="11">
        <v>1</v>
      </c>
      <c r="C4" s="11">
        <v>2</v>
      </c>
      <c r="D4" s="26">
        <v>3</v>
      </c>
      <c r="E4" s="11">
        <v>4</v>
      </c>
      <c r="F4" s="11">
        <v>5</v>
      </c>
      <c r="G4" s="11">
        <v>6</v>
      </c>
      <c r="H4" s="153"/>
      <c r="I4" s="153"/>
    </row>
    <row r="5" spans="1:9" x14ac:dyDescent="0.2">
      <c r="A5" s="6" t="s">
        <v>4</v>
      </c>
      <c r="B5" s="6"/>
      <c r="C5" s="10">
        <f>Hoja1!E83</f>
        <v>0.61818181818181817</v>
      </c>
      <c r="D5" s="10">
        <f>Hoja1!F83</f>
        <v>0.70909090909090911</v>
      </c>
      <c r="E5" s="10">
        <f>Hoja1!G83</f>
        <v>0.80909090909090908</v>
      </c>
      <c r="F5" s="10">
        <f>Hoja1!H83</f>
        <v>0.91818181818181821</v>
      </c>
      <c r="G5" s="10">
        <f>Hoja1!I83</f>
        <v>1</v>
      </c>
      <c r="H5" s="124"/>
      <c r="I5" s="124"/>
    </row>
    <row r="6" spans="1:9" x14ac:dyDescent="0.2">
      <c r="A6" s="8" t="s">
        <v>101</v>
      </c>
      <c r="H6" s="15"/>
      <c r="I6" s="15"/>
    </row>
    <row r="7" spans="1:9" x14ac:dyDescent="0.2">
      <c r="A7" s="8" t="s">
        <v>102</v>
      </c>
      <c r="B7" s="5">
        <f>Hoja4!B14</f>
        <v>10876622</v>
      </c>
      <c r="C7" s="5"/>
      <c r="D7" s="5"/>
      <c r="E7" s="5"/>
      <c r="F7" s="5"/>
      <c r="G7" s="5"/>
      <c r="H7" s="72"/>
      <c r="I7" s="72"/>
    </row>
    <row r="8" spans="1:9" x14ac:dyDescent="0.2">
      <c r="A8" s="8" t="s">
        <v>103</v>
      </c>
      <c r="B8" s="5">
        <f>Hoja4!B15</f>
        <v>9422400</v>
      </c>
      <c r="C8" s="5"/>
      <c r="D8" s="5"/>
      <c r="E8" s="5"/>
      <c r="F8" s="5"/>
      <c r="G8" s="5"/>
      <c r="H8" s="72"/>
      <c r="I8" s="72"/>
    </row>
    <row r="9" spans="1:9" x14ac:dyDescent="0.2">
      <c r="A9" s="8" t="s">
        <v>104</v>
      </c>
      <c r="B9" s="5"/>
      <c r="C9" s="5">
        <f>Hoja3!D135</f>
        <v>29743338.132214665</v>
      </c>
      <c r="D9" s="5">
        <f>Hoja3!E135</f>
        <v>1702750.5134500042</v>
      </c>
      <c r="E9" s="5">
        <f>Hoja3!F135</f>
        <v>2031253.9230499975</v>
      </c>
      <c r="F9" s="5">
        <f>Hoja3!G135</f>
        <v>2128834.4669500031</v>
      </c>
      <c r="G9" s="5">
        <f>Hoja3!H135</f>
        <v>2165875.7119999975</v>
      </c>
      <c r="H9" s="72"/>
      <c r="I9" s="72"/>
    </row>
    <row r="10" spans="1:9" x14ac:dyDescent="0.2">
      <c r="A10" s="9" t="s">
        <v>105</v>
      </c>
      <c r="B10" s="96">
        <f>SUM(B7:B9)</f>
        <v>20299022</v>
      </c>
      <c r="C10" s="96">
        <f t="shared" ref="C10:G10" si="0">SUM(C7:C9)</f>
        <v>29743338.132214665</v>
      </c>
      <c r="D10" s="96">
        <f t="shared" si="0"/>
        <v>1702750.5134500042</v>
      </c>
      <c r="E10" s="96">
        <f t="shared" si="0"/>
        <v>2031253.9230499975</v>
      </c>
      <c r="F10" s="96">
        <f t="shared" si="0"/>
        <v>2128834.4669500031</v>
      </c>
      <c r="G10" s="96">
        <f t="shared" si="0"/>
        <v>2165875.7119999975</v>
      </c>
      <c r="H10" s="72"/>
      <c r="I10" s="72"/>
    </row>
    <row r="12" spans="1:9" ht="15.75" x14ac:dyDescent="0.25">
      <c r="A12" s="379" t="s">
        <v>106</v>
      </c>
      <c r="B12" s="379"/>
      <c r="C12" s="379"/>
      <c r="D12" s="379"/>
      <c r="E12" s="379"/>
      <c r="F12" s="379"/>
      <c r="G12" s="379"/>
      <c r="H12" s="16"/>
      <c r="I12" s="16"/>
    </row>
    <row r="13" spans="1:9" ht="15.75" x14ac:dyDescent="0.25">
      <c r="A13" s="380" t="s">
        <v>107</v>
      </c>
      <c r="B13" s="380"/>
      <c r="C13" s="380"/>
      <c r="D13" s="380"/>
      <c r="E13" s="380"/>
      <c r="F13" s="380"/>
      <c r="G13" s="380"/>
      <c r="H13" s="22"/>
      <c r="I13" s="22"/>
    </row>
    <row r="14" spans="1:9" x14ac:dyDescent="0.2">
      <c r="A14" s="14"/>
      <c r="B14" s="14"/>
      <c r="C14" s="14"/>
      <c r="D14" s="14"/>
      <c r="E14" s="14"/>
      <c r="F14" s="14"/>
      <c r="G14" s="14"/>
      <c r="H14" s="14"/>
      <c r="I14" s="14"/>
    </row>
    <row r="15" spans="1:9" x14ac:dyDescent="0.2">
      <c r="A15" s="7" t="s">
        <v>1</v>
      </c>
      <c r="B15" s="61" t="s">
        <v>2</v>
      </c>
      <c r="C15" s="388" t="s">
        <v>3</v>
      </c>
      <c r="D15" s="388"/>
      <c r="E15" s="388"/>
      <c r="F15" s="388"/>
      <c r="G15" s="388"/>
      <c r="H15" s="14"/>
      <c r="I15" s="15"/>
    </row>
    <row r="16" spans="1:9" x14ac:dyDescent="0.2">
      <c r="A16" s="9" t="s">
        <v>6</v>
      </c>
      <c r="B16" s="11">
        <v>1</v>
      </c>
      <c r="C16" s="11">
        <v>2</v>
      </c>
      <c r="D16" s="26">
        <v>3</v>
      </c>
      <c r="E16" s="11">
        <v>4</v>
      </c>
      <c r="F16" s="11">
        <v>5</v>
      </c>
      <c r="G16" s="11">
        <v>6</v>
      </c>
      <c r="H16" s="153"/>
      <c r="I16" s="153"/>
    </row>
    <row r="17" spans="1:11" x14ac:dyDescent="0.2">
      <c r="A17" s="6" t="s">
        <v>4</v>
      </c>
      <c r="B17" s="6"/>
      <c r="C17" s="6"/>
      <c r="D17" s="10">
        <v>0.6</v>
      </c>
      <c r="E17" s="10">
        <v>0.8</v>
      </c>
      <c r="F17" s="10">
        <v>1</v>
      </c>
      <c r="G17" s="10">
        <v>1</v>
      </c>
      <c r="H17" s="124"/>
      <c r="I17" s="124"/>
    </row>
    <row r="18" spans="1:11" ht="39" customHeight="1" x14ac:dyDescent="0.2">
      <c r="A18" s="23" t="s">
        <v>108</v>
      </c>
      <c r="B18" s="334">
        <f>Hoja4!B17</f>
        <v>20299022</v>
      </c>
      <c r="C18" s="334">
        <f>Hoja4!C17</f>
        <v>21018389.002214663</v>
      </c>
      <c r="D18" s="334">
        <f>Hoja4!D17</f>
        <v>824911.64345000684</v>
      </c>
      <c r="E18" s="334">
        <f>Hoja4!E17</f>
        <v>1123875.4330499992</v>
      </c>
      <c r="F18" s="334">
        <f>Hoja4!F17</f>
        <v>1197664.2569500022</v>
      </c>
      <c r="G18" s="334">
        <f>Hoja4!G17</f>
        <v>1206211.7519999966</v>
      </c>
      <c r="H18" s="33"/>
      <c r="I18" s="33"/>
      <c r="K18" s="3"/>
    </row>
    <row r="19" spans="1:11" ht="20.25" customHeight="1" x14ac:dyDescent="0.2">
      <c r="A19" s="23" t="s">
        <v>109</v>
      </c>
      <c r="B19" s="5"/>
      <c r="C19" s="5"/>
      <c r="D19" s="5"/>
      <c r="E19" s="5"/>
      <c r="F19" s="5"/>
      <c r="G19" s="5"/>
      <c r="H19" s="15"/>
      <c r="I19" s="15"/>
    </row>
    <row r="20" spans="1:11" ht="20.25" customHeight="1" x14ac:dyDescent="0.2">
      <c r="A20" s="23" t="s">
        <v>110</v>
      </c>
      <c r="B20" s="5">
        <f>Hoja1!B138</f>
        <v>5000000</v>
      </c>
      <c r="C20" s="5"/>
      <c r="D20" s="5"/>
      <c r="E20" s="5"/>
      <c r="F20" s="5"/>
      <c r="G20" s="5"/>
      <c r="H20" s="15"/>
      <c r="I20" s="15"/>
    </row>
    <row r="21" spans="1:11" ht="20.25" customHeight="1" x14ac:dyDescent="0.2">
      <c r="A21" s="23" t="s">
        <v>111</v>
      </c>
      <c r="B21" s="5"/>
      <c r="C21" s="5"/>
      <c r="D21" s="5"/>
      <c r="E21" s="5"/>
      <c r="F21" s="5"/>
      <c r="G21" s="5"/>
      <c r="H21" s="15"/>
      <c r="I21" s="15"/>
    </row>
    <row r="22" spans="1:11" ht="23.25" customHeight="1" x14ac:dyDescent="0.2">
      <c r="A22" s="23" t="s">
        <v>84</v>
      </c>
      <c r="B22" s="5"/>
      <c r="C22" s="334">
        <f>Hoja3!D145</f>
        <v>8724949.1300000008</v>
      </c>
      <c r="D22" s="334">
        <f>Hoja3!E145</f>
        <v>877838.86999999918</v>
      </c>
      <c r="E22" s="334">
        <f>Hoja3!F145</f>
        <v>907378.49000000022</v>
      </c>
      <c r="F22" s="334">
        <f>Hoja3!G145</f>
        <v>931170.20999999903</v>
      </c>
      <c r="G22" s="334">
        <f>Hoja3!H145</f>
        <v>959663.96000000089</v>
      </c>
      <c r="H22" s="274"/>
      <c r="I22" s="15"/>
    </row>
    <row r="23" spans="1:11" ht="40.5" customHeight="1" x14ac:dyDescent="0.2">
      <c r="A23" s="23" t="s">
        <v>112</v>
      </c>
      <c r="B23" s="5"/>
      <c r="C23" s="5"/>
      <c r="D23" s="5"/>
      <c r="E23" s="5"/>
      <c r="F23" s="5"/>
      <c r="G23" s="5"/>
      <c r="H23" s="15"/>
      <c r="I23" s="15"/>
    </row>
    <row r="24" spans="1:11" ht="21.75" customHeight="1" x14ac:dyDescent="0.2">
      <c r="A24" s="28" t="s">
        <v>105</v>
      </c>
      <c r="B24" s="96">
        <f>SUM(B18:B23)</f>
        <v>25299022</v>
      </c>
      <c r="C24" s="96">
        <f t="shared" ref="C24:G24" si="1">SUM(C18:C23)</f>
        <v>29743338.132214665</v>
      </c>
      <c r="D24" s="96">
        <f t="shared" si="1"/>
        <v>1702750.513450006</v>
      </c>
      <c r="E24" s="96">
        <f t="shared" si="1"/>
        <v>2031253.9230499994</v>
      </c>
      <c r="F24" s="96">
        <f t="shared" si="1"/>
        <v>2128834.4669500012</v>
      </c>
      <c r="G24" s="96">
        <f t="shared" si="1"/>
        <v>2165875.7119999975</v>
      </c>
      <c r="H24" s="33"/>
      <c r="I24" s="33"/>
      <c r="J24" s="33"/>
    </row>
    <row r="25" spans="1:11" ht="31.5" x14ac:dyDescent="0.25">
      <c r="A25" s="41" t="s">
        <v>197</v>
      </c>
      <c r="B25" s="214">
        <f>B18</f>
        <v>20299022</v>
      </c>
      <c r="C25" s="214">
        <f>C18+B18</f>
        <v>41317411.002214663</v>
      </c>
      <c r="D25" s="214">
        <f>C25+D18</f>
        <v>42142322.64566467</v>
      </c>
      <c r="E25" s="214">
        <f t="shared" ref="E25:G25" si="2">D25+E18</f>
        <v>43266198.078714669</v>
      </c>
      <c r="F25" s="214">
        <f t="shared" si="2"/>
        <v>44463862.335664675</v>
      </c>
      <c r="G25" s="214">
        <f t="shared" si="2"/>
        <v>45670074.087664671</v>
      </c>
      <c r="H25" s="241"/>
      <c r="I25" s="241"/>
    </row>
    <row r="26" spans="1:11" x14ac:dyDescent="0.2">
      <c r="A26" s="27"/>
      <c r="C26" s="3"/>
    </row>
    <row r="27" spans="1:11" x14ac:dyDescent="0.2">
      <c r="A27" s="27"/>
    </row>
    <row r="28" spans="1:11" x14ac:dyDescent="0.2">
      <c r="A28" s="27"/>
    </row>
    <row r="29" spans="1:11" x14ac:dyDescent="0.2">
      <c r="A29" s="27"/>
    </row>
    <row r="30" spans="1:11" x14ac:dyDescent="0.2">
      <c r="A30" s="27"/>
    </row>
    <row r="31" spans="1:11" x14ac:dyDescent="0.2">
      <c r="A31" s="27"/>
    </row>
  </sheetData>
  <mergeCells count="5">
    <mergeCell ref="C15:G15"/>
    <mergeCell ref="A1:G1"/>
    <mergeCell ref="A2:G2"/>
    <mergeCell ref="A12:G12"/>
    <mergeCell ref="A13:G13"/>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38"/>
  <sheetViews>
    <sheetView topLeftCell="A7" workbookViewId="0">
      <selection activeCell="A4" sqref="A4:G15"/>
    </sheetView>
  </sheetViews>
  <sheetFormatPr baseColWidth="10" defaultRowHeight="15" x14ac:dyDescent="0.2"/>
  <cols>
    <col min="1" max="1" width="38.6640625" customWidth="1"/>
    <col min="4" max="5" width="12.88671875" bestFit="1" customWidth="1"/>
    <col min="6" max="9" width="13.88671875" bestFit="1" customWidth="1"/>
  </cols>
  <sheetData>
    <row r="1" spans="1:9" ht="15.75" x14ac:dyDescent="0.25">
      <c r="A1" s="379" t="s">
        <v>113</v>
      </c>
      <c r="B1" s="379"/>
      <c r="C1" s="379"/>
      <c r="D1" s="379"/>
      <c r="E1" s="379"/>
      <c r="F1" s="379"/>
      <c r="G1" s="379"/>
      <c r="H1" s="16"/>
      <c r="I1" s="16"/>
    </row>
    <row r="2" spans="1:9" ht="15.75" x14ac:dyDescent="0.25">
      <c r="A2" s="421" t="s">
        <v>114</v>
      </c>
      <c r="B2" s="421"/>
      <c r="C2" s="421"/>
      <c r="D2" s="421"/>
      <c r="E2" s="421"/>
      <c r="F2" s="421"/>
      <c r="G2" s="421"/>
      <c r="H2" s="22"/>
      <c r="I2" s="22"/>
    </row>
    <row r="3" spans="1:9" x14ac:dyDescent="0.2">
      <c r="A3" s="7" t="s">
        <v>1</v>
      </c>
      <c r="B3" s="155" t="s">
        <v>2</v>
      </c>
      <c r="C3" s="388" t="s">
        <v>3</v>
      </c>
      <c r="D3" s="388"/>
      <c r="E3" s="388"/>
      <c r="F3" s="388"/>
      <c r="G3" s="388"/>
      <c r="H3" s="14"/>
      <c r="I3" s="15"/>
    </row>
    <row r="4" spans="1:9" x14ac:dyDescent="0.2">
      <c r="A4" s="9" t="s">
        <v>6</v>
      </c>
      <c r="B4" s="11">
        <v>1</v>
      </c>
      <c r="C4" s="11">
        <v>2</v>
      </c>
      <c r="D4" s="26">
        <v>3</v>
      </c>
      <c r="E4" s="11">
        <v>4</v>
      </c>
      <c r="F4" s="11">
        <v>5</v>
      </c>
      <c r="G4" s="11">
        <v>6</v>
      </c>
      <c r="H4" s="153"/>
      <c r="I4" s="153"/>
    </row>
    <row r="5" spans="1:9" x14ac:dyDescent="0.2">
      <c r="A5" s="6" t="s">
        <v>4</v>
      </c>
      <c r="B5" s="6"/>
      <c r="C5" s="10">
        <f>Hoja1!C6</f>
        <v>0.62</v>
      </c>
      <c r="D5" s="10">
        <f>Hoja1!D6</f>
        <v>0.71</v>
      </c>
      <c r="E5" s="10">
        <f>Hoja1!E6</f>
        <v>0.81</v>
      </c>
      <c r="F5" s="10">
        <f>Hoja1!F6</f>
        <v>0.92</v>
      </c>
      <c r="G5" s="10">
        <f>Hoja1!G6</f>
        <v>1</v>
      </c>
      <c r="H5" s="124"/>
      <c r="I5" s="124"/>
    </row>
    <row r="6" spans="1:9" x14ac:dyDescent="0.2">
      <c r="A6" s="8" t="s">
        <v>115</v>
      </c>
      <c r="B6" s="5"/>
      <c r="C6" s="5">
        <f>Hoja1!C28</f>
        <v>147605000</v>
      </c>
      <c r="D6" s="5">
        <f>Hoja1!D28</f>
        <v>169340000</v>
      </c>
      <c r="E6" s="5">
        <f>Hoja1!E28</f>
        <v>192730000</v>
      </c>
      <c r="F6" s="5">
        <f>Hoja1!F28</f>
        <v>218390000</v>
      </c>
      <c r="G6" s="5">
        <f>Hoja1!G28</f>
        <v>237855000</v>
      </c>
      <c r="H6" s="36"/>
      <c r="I6" s="36"/>
    </row>
    <row r="7" spans="1:9" x14ac:dyDescent="0.2">
      <c r="A7" s="8" t="s">
        <v>116</v>
      </c>
      <c r="C7" s="5"/>
      <c r="D7" s="5">
        <v>0</v>
      </c>
      <c r="E7" s="5">
        <v>0</v>
      </c>
      <c r="F7" s="5">
        <v>0</v>
      </c>
      <c r="G7" s="5">
        <v>0</v>
      </c>
      <c r="H7" s="15"/>
      <c r="I7" s="15"/>
    </row>
    <row r="8" spans="1:9" x14ac:dyDescent="0.2">
      <c r="A8" s="8" t="s">
        <v>117</v>
      </c>
      <c r="C8" s="5">
        <f>Hoja3!C108</f>
        <v>138998148.83545601</v>
      </c>
      <c r="D8" s="5">
        <f>Hoja3!D108</f>
        <v>144054546.19774008</v>
      </c>
      <c r="E8" s="5">
        <f>Hoja3!E108</f>
        <v>151426336.24892378</v>
      </c>
      <c r="F8" s="5">
        <f>Hoja3!F108</f>
        <v>159315214.44743609</v>
      </c>
      <c r="G8" s="5">
        <f>Hoja3!G108</f>
        <v>167184344.29305598</v>
      </c>
      <c r="H8" s="33"/>
      <c r="I8" s="33"/>
    </row>
    <row r="9" spans="1:9" x14ac:dyDescent="0.2">
      <c r="A9" s="8" t="s">
        <v>118</v>
      </c>
      <c r="C9" s="149"/>
      <c r="D9" s="149">
        <v>0</v>
      </c>
      <c r="E9" s="149">
        <v>0</v>
      </c>
      <c r="F9" s="149">
        <v>0</v>
      </c>
      <c r="G9" s="149">
        <v>0</v>
      </c>
      <c r="H9" s="15"/>
      <c r="I9" s="15"/>
    </row>
    <row r="10" spans="1:9" x14ac:dyDescent="0.2">
      <c r="A10" s="335" t="s">
        <v>119</v>
      </c>
      <c r="B10" s="336"/>
      <c r="C10" s="337">
        <f>C6+C7-C8-C9</f>
        <v>8606851.1645439863</v>
      </c>
      <c r="D10" s="337">
        <f t="shared" ref="D10:G10" si="0">D6+D7-D8-D9</f>
        <v>25285453.802259922</v>
      </c>
      <c r="E10" s="337">
        <f t="shared" si="0"/>
        <v>41303663.751076221</v>
      </c>
      <c r="F10" s="337">
        <f t="shared" si="0"/>
        <v>59074785.552563906</v>
      </c>
      <c r="G10" s="337">
        <f t="shared" si="0"/>
        <v>70670655.706944019</v>
      </c>
      <c r="H10" s="36"/>
      <c r="I10" s="36"/>
    </row>
    <row r="11" spans="1:9" x14ac:dyDescent="0.2">
      <c r="A11" s="8" t="s">
        <v>486</v>
      </c>
      <c r="C11" s="149">
        <f>C10*0.35</f>
        <v>3012397.9075903948</v>
      </c>
      <c r="D11" s="149">
        <f t="shared" ref="D11:G11" si="1">D10*0.35</f>
        <v>8849908.8307909723</v>
      </c>
      <c r="E11" s="149">
        <f t="shared" si="1"/>
        <v>14456282.312876677</v>
      </c>
      <c r="F11" s="149">
        <f t="shared" si="1"/>
        <v>20676174.943397366</v>
      </c>
      <c r="G11" s="149">
        <f t="shared" si="1"/>
        <v>24734729.497430407</v>
      </c>
      <c r="H11" s="33"/>
      <c r="I11" s="33"/>
    </row>
    <row r="12" spans="1:9" x14ac:dyDescent="0.2">
      <c r="A12" s="8" t="s">
        <v>120</v>
      </c>
      <c r="C12" s="5">
        <f>C10-C11</f>
        <v>5594453.2569535915</v>
      </c>
      <c r="D12" s="5">
        <f t="shared" ref="D12:G12" si="2">D10-D11</f>
        <v>16435544.97146895</v>
      </c>
      <c r="E12" s="5">
        <f t="shared" si="2"/>
        <v>26847381.438199542</v>
      </c>
      <c r="F12" s="5">
        <f t="shared" si="2"/>
        <v>38398610.60916654</v>
      </c>
      <c r="G12" s="5">
        <f t="shared" si="2"/>
        <v>45935926.209513612</v>
      </c>
      <c r="H12" s="36"/>
      <c r="I12" s="36"/>
    </row>
    <row r="13" spans="1:9" x14ac:dyDescent="0.2">
      <c r="A13" s="8" t="s">
        <v>121</v>
      </c>
      <c r="C13" s="5">
        <v>0</v>
      </c>
      <c r="D13" s="149">
        <v>0</v>
      </c>
      <c r="E13" s="149">
        <v>0</v>
      </c>
      <c r="F13" s="149">
        <v>0</v>
      </c>
      <c r="G13" s="149">
        <v>0</v>
      </c>
      <c r="H13" s="15"/>
      <c r="I13" s="15"/>
    </row>
    <row r="14" spans="1:9" x14ac:dyDescent="0.2">
      <c r="A14" s="8" t="s">
        <v>122</v>
      </c>
      <c r="C14" s="5">
        <f>C12-C13</f>
        <v>5594453.2569535915</v>
      </c>
      <c r="D14" s="5">
        <f>D12-D13</f>
        <v>16435544.97146895</v>
      </c>
      <c r="E14" s="5">
        <f t="shared" ref="E14:G14" si="3">E12-E13</f>
        <v>26847381.438199542</v>
      </c>
      <c r="F14" s="5">
        <f t="shared" si="3"/>
        <v>38398610.60916654</v>
      </c>
      <c r="G14" s="5">
        <f t="shared" si="3"/>
        <v>45935926.209513612</v>
      </c>
      <c r="H14" s="36"/>
      <c r="I14" s="36"/>
    </row>
    <row r="15" spans="1:9" x14ac:dyDescent="0.2">
      <c r="A15" s="12" t="s">
        <v>123</v>
      </c>
      <c r="B15" s="6"/>
      <c r="C15" s="149">
        <f>C14</f>
        <v>5594453.2569535915</v>
      </c>
      <c r="D15" s="149">
        <f>D14+C14</f>
        <v>22029998.228422541</v>
      </c>
      <c r="E15" s="149">
        <f>D15+E14</f>
        <v>48877379.666622087</v>
      </c>
      <c r="F15" s="149">
        <f t="shared" ref="F15:G15" si="4">E15+F14</f>
        <v>87275990.275788635</v>
      </c>
      <c r="G15" s="149">
        <f t="shared" si="4"/>
        <v>133211916.48530224</v>
      </c>
      <c r="H15" s="36"/>
      <c r="I15" s="36"/>
    </row>
    <row r="18" spans="1:9" ht="15.75" x14ac:dyDescent="0.25">
      <c r="A18" s="379" t="s">
        <v>124</v>
      </c>
      <c r="B18" s="379"/>
      <c r="C18" s="379"/>
      <c r="D18" s="379"/>
      <c r="E18" s="379"/>
      <c r="F18" s="379"/>
      <c r="G18" s="379"/>
      <c r="H18" s="16"/>
      <c r="I18" s="16"/>
    </row>
    <row r="19" spans="1:9" ht="15.75" x14ac:dyDescent="0.25">
      <c r="A19" s="380" t="s">
        <v>114</v>
      </c>
      <c r="B19" s="380"/>
      <c r="C19" s="380"/>
      <c r="D19" s="380"/>
      <c r="E19" s="380"/>
      <c r="F19" s="380"/>
      <c r="G19" s="380"/>
      <c r="H19" s="22"/>
      <c r="I19" s="22"/>
    </row>
    <row r="20" spans="1:9" x14ac:dyDescent="0.2">
      <c r="A20" s="420" t="s">
        <v>125</v>
      </c>
      <c r="B20" s="420"/>
      <c r="C20" s="420"/>
      <c r="D20" s="420"/>
      <c r="E20" s="420"/>
      <c r="F20" s="420"/>
      <c r="G20" s="420"/>
      <c r="H20" s="16"/>
      <c r="I20" s="16"/>
    </row>
    <row r="21" spans="1:9" x14ac:dyDescent="0.2">
      <c r="A21" s="14"/>
      <c r="B21" s="14"/>
      <c r="C21" s="14"/>
      <c r="D21" s="14"/>
      <c r="E21" s="14"/>
      <c r="F21" s="14"/>
      <c r="G21" s="14"/>
      <c r="H21" s="14"/>
      <c r="I21" s="14"/>
    </row>
    <row r="22" spans="1:9" x14ac:dyDescent="0.2">
      <c r="A22" s="7" t="s">
        <v>1</v>
      </c>
      <c r="B22" s="155" t="s">
        <v>2</v>
      </c>
      <c r="C22" s="388" t="s">
        <v>3</v>
      </c>
      <c r="D22" s="388"/>
      <c r="E22" s="388"/>
      <c r="F22" s="388"/>
      <c r="G22" s="388"/>
      <c r="H22" s="14"/>
      <c r="I22" s="14"/>
    </row>
    <row r="23" spans="1:9" x14ac:dyDescent="0.2">
      <c r="A23" s="9" t="s">
        <v>6</v>
      </c>
      <c r="B23" s="61">
        <v>1</v>
      </c>
      <c r="C23" s="61">
        <v>2</v>
      </c>
      <c r="D23" s="26">
        <v>3</v>
      </c>
      <c r="E23" s="61">
        <v>4</v>
      </c>
      <c r="F23" s="61">
        <v>5</v>
      </c>
      <c r="G23" s="61">
        <v>6</v>
      </c>
      <c r="H23" s="153"/>
      <c r="I23" s="153"/>
    </row>
    <row r="24" spans="1:9" x14ac:dyDescent="0.2">
      <c r="A24" s="6" t="s">
        <v>4</v>
      </c>
      <c r="B24" s="6"/>
      <c r="C24" s="10">
        <f>C5</f>
        <v>0.62</v>
      </c>
      <c r="D24" s="10">
        <f t="shared" ref="D24:G24" si="5">D5</f>
        <v>0.71</v>
      </c>
      <c r="E24" s="10">
        <f t="shared" si="5"/>
        <v>0.81</v>
      </c>
      <c r="F24" s="10">
        <f t="shared" si="5"/>
        <v>0.92</v>
      </c>
      <c r="G24" s="10">
        <f t="shared" si="5"/>
        <v>1</v>
      </c>
      <c r="H24" s="124"/>
      <c r="I24" s="124"/>
    </row>
    <row r="25" spans="1:9" x14ac:dyDescent="0.2">
      <c r="A25" s="8" t="s">
        <v>126</v>
      </c>
      <c r="C25" s="5">
        <f>C6</f>
        <v>147605000</v>
      </c>
      <c r="D25" s="5">
        <f t="shared" ref="D25:G25" si="6">D6</f>
        <v>169340000</v>
      </c>
      <c r="E25" s="5">
        <f t="shared" si="6"/>
        <v>192730000</v>
      </c>
      <c r="F25" s="5">
        <f t="shared" si="6"/>
        <v>218390000</v>
      </c>
      <c r="G25" s="5">
        <f t="shared" si="6"/>
        <v>237855000</v>
      </c>
      <c r="H25" s="36"/>
      <c r="I25" s="36"/>
    </row>
    <row r="26" spans="1:9" x14ac:dyDescent="0.2">
      <c r="A26" s="8" t="s">
        <v>127</v>
      </c>
      <c r="C26" s="5">
        <f>Hoja3!C100</f>
        <v>87356639.598880008</v>
      </c>
      <c r="D26" s="5">
        <f>Hoja3!D100</f>
        <v>94379350.556880012</v>
      </c>
      <c r="E26" s="5">
        <f>Hoja3!E100</f>
        <v>101638378.45887999</v>
      </c>
      <c r="F26" s="5">
        <f>Hoja3!F100</f>
        <v>109087740.15688001</v>
      </c>
      <c r="G26" s="5">
        <f>Hoja3!G100</f>
        <v>116765051.83688001</v>
      </c>
      <c r="H26" s="33"/>
      <c r="I26" s="33"/>
    </row>
    <row r="27" spans="1:9" x14ac:dyDescent="0.2">
      <c r="A27" s="8" t="s">
        <v>128</v>
      </c>
      <c r="C27" s="275">
        <f>C25-C26</f>
        <v>60248360.401119992</v>
      </c>
      <c r="D27" s="275">
        <f t="shared" ref="D27:G27" si="7">D25-D26</f>
        <v>74960649.443119988</v>
      </c>
      <c r="E27" s="275">
        <f t="shared" si="7"/>
        <v>91091621.541120008</v>
      </c>
      <c r="F27" s="275">
        <f t="shared" si="7"/>
        <v>109302259.84311999</v>
      </c>
      <c r="G27" s="275">
        <f t="shared" si="7"/>
        <v>121089948.16311999</v>
      </c>
      <c r="H27" s="36"/>
      <c r="I27" s="36"/>
    </row>
    <row r="28" spans="1:9" x14ac:dyDescent="0.2">
      <c r="A28" s="8" t="s">
        <v>129</v>
      </c>
      <c r="C28" s="5">
        <f>Hoja3!C105</f>
        <v>50591509.236576006</v>
      </c>
      <c r="D28" s="5">
        <f>Hoja3!D105</f>
        <v>48763549.236576006</v>
      </c>
      <c r="E28" s="5">
        <f>Hoja3!E105</f>
        <v>49043719.236576006</v>
      </c>
      <c r="F28" s="5">
        <f>Hoja3!F105</f>
        <v>49685799.236576006</v>
      </c>
      <c r="G28" s="5">
        <f>Hoja3!G105</f>
        <v>50122719.236576006</v>
      </c>
      <c r="H28" s="33"/>
      <c r="I28" s="33"/>
    </row>
    <row r="29" spans="1:9" x14ac:dyDescent="0.2">
      <c r="A29" s="8" t="s">
        <v>130</v>
      </c>
      <c r="C29" s="275">
        <f>C27-C28</f>
        <v>9656851.1645439863</v>
      </c>
      <c r="D29" s="276">
        <f>D27-D28</f>
        <v>26197100.206543982</v>
      </c>
      <c r="E29" s="276">
        <f t="shared" ref="E29:G29" si="8">E27-E28</f>
        <v>42047902.304544002</v>
      </c>
      <c r="F29" s="276">
        <f t="shared" si="8"/>
        <v>59616460.606543988</v>
      </c>
      <c r="G29" s="276">
        <f t="shared" si="8"/>
        <v>70967228.926543981</v>
      </c>
      <c r="H29" s="36"/>
      <c r="I29" s="36"/>
    </row>
    <row r="30" spans="1:9" x14ac:dyDescent="0.2">
      <c r="A30" s="8" t="s">
        <v>116</v>
      </c>
      <c r="C30">
        <v>0</v>
      </c>
      <c r="D30">
        <v>0</v>
      </c>
      <c r="E30">
        <v>0</v>
      </c>
      <c r="F30">
        <v>0</v>
      </c>
      <c r="G30">
        <v>0</v>
      </c>
      <c r="H30" s="15"/>
      <c r="I30" s="15"/>
    </row>
    <row r="31" spans="1:9" x14ac:dyDescent="0.2">
      <c r="A31" s="8" t="s">
        <v>118</v>
      </c>
      <c r="C31">
        <v>0</v>
      </c>
      <c r="D31">
        <v>0</v>
      </c>
      <c r="E31">
        <v>0</v>
      </c>
      <c r="F31">
        <v>0</v>
      </c>
      <c r="G31">
        <v>0</v>
      </c>
      <c r="H31" s="15"/>
      <c r="I31" s="15"/>
    </row>
    <row r="32" spans="1:9" x14ac:dyDescent="0.2">
      <c r="A32" s="8" t="s">
        <v>131</v>
      </c>
      <c r="C32" s="5">
        <f>Hoja3!C107</f>
        <v>1050000</v>
      </c>
      <c r="D32" s="5">
        <f>Hoja3!D107</f>
        <v>911646.40428406186</v>
      </c>
      <c r="E32" s="5">
        <f>Hoja3!E107</f>
        <v>744238.55346777674</v>
      </c>
      <c r="F32" s="5">
        <f>Hoja3!F107</f>
        <v>541675.0539800718</v>
      </c>
      <c r="G32" s="5">
        <f>Hoja3!G107</f>
        <v>296573.21959994885</v>
      </c>
      <c r="H32" s="15"/>
      <c r="I32" s="15"/>
    </row>
    <row r="33" spans="1:9" x14ac:dyDescent="0.2">
      <c r="A33" s="8" t="s">
        <v>119</v>
      </c>
      <c r="C33" s="275">
        <f>C29+C30-C31-C32</f>
        <v>8606851.1645439863</v>
      </c>
      <c r="D33" s="275">
        <f t="shared" ref="D33:G33" si="9">D29+D30-D31-D32</f>
        <v>25285453.802259922</v>
      </c>
      <c r="E33" s="275">
        <f t="shared" si="9"/>
        <v>41303663.751076221</v>
      </c>
      <c r="F33" s="275">
        <f t="shared" si="9"/>
        <v>59074785.552563913</v>
      </c>
      <c r="G33" s="275">
        <f t="shared" si="9"/>
        <v>70670655.706944034</v>
      </c>
      <c r="H33" s="36"/>
      <c r="I33" s="36"/>
    </row>
    <row r="34" spans="1:9" x14ac:dyDescent="0.2">
      <c r="A34" s="8" t="s">
        <v>487</v>
      </c>
      <c r="C34" s="5">
        <f>C33*0.35</f>
        <v>3012397.9075903948</v>
      </c>
      <c r="D34" s="5">
        <f t="shared" ref="D34:G34" si="10">D33*0.35</f>
        <v>8849908.8307909723</v>
      </c>
      <c r="E34" s="5">
        <f t="shared" si="10"/>
        <v>14456282.312876677</v>
      </c>
      <c r="F34" s="5">
        <f t="shared" si="10"/>
        <v>20676174.943397369</v>
      </c>
      <c r="G34" s="5">
        <f t="shared" si="10"/>
        <v>24734729.49743041</v>
      </c>
      <c r="H34" s="15"/>
      <c r="I34" s="15"/>
    </row>
    <row r="35" spans="1:9" x14ac:dyDescent="0.2">
      <c r="A35" s="8" t="s">
        <v>120</v>
      </c>
      <c r="C35" s="275">
        <f>C33-C34</f>
        <v>5594453.2569535915</v>
      </c>
      <c r="D35" s="275">
        <f t="shared" ref="D35:G35" si="11">D33-D34</f>
        <v>16435544.97146895</v>
      </c>
      <c r="E35" s="275">
        <f t="shared" si="11"/>
        <v>26847381.438199542</v>
      </c>
      <c r="F35" s="275">
        <f t="shared" si="11"/>
        <v>38398610.609166548</v>
      </c>
      <c r="G35" s="275">
        <f t="shared" si="11"/>
        <v>45935926.20951362</v>
      </c>
      <c r="H35" s="36"/>
      <c r="I35" s="36"/>
    </row>
    <row r="36" spans="1:9" x14ac:dyDescent="0.2">
      <c r="A36" s="8" t="s">
        <v>121</v>
      </c>
      <c r="C36">
        <v>0</v>
      </c>
      <c r="D36" s="6">
        <v>0</v>
      </c>
      <c r="E36" s="6">
        <v>0</v>
      </c>
      <c r="F36" s="6">
        <v>0</v>
      </c>
      <c r="G36" s="6">
        <v>0</v>
      </c>
      <c r="H36" s="15"/>
      <c r="I36" s="15"/>
    </row>
    <row r="37" spans="1:9" x14ac:dyDescent="0.2">
      <c r="A37" s="8" t="s">
        <v>132</v>
      </c>
      <c r="C37" s="275">
        <f>C35-C36</f>
        <v>5594453.2569535915</v>
      </c>
      <c r="D37" s="275">
        <f t="shared" ref="D37:G37" si="12">D35-D36</f>
        <v>16435544.97146895</v>
      </c>
      <c r="E37" s="275">
        <f t="shared" si="12"/>
        <v>26847381.438199542</v>
      </c>
      <c r="F37" s="275">
        <f t="shared" si="12"/>
        <v>38398610.609166548</v>
      </c>
      <c r="G37" s="275">
        <f t="shared" si="12"/>
        <v>45935926.20951362</v>
      </c>
      <c r="H37" s="36"/>
      <c r="I37" s="36"/>
    </row>
    <row r="38" spans="1:9" x14ac:dyDescent="0.2">
      <c r="A38" s="12" t="s">
        <v>133</v>
      </c>
      <c r="B38" s="6"/>
      <c r="C38" s="149">
        <f>C37</f>
        <v>5594453.2569535915</v>
      </c>
      <c r="D38" s="149">
        <f>D37+C37</f>
        <v>22029998.228422541</v>
      </c>
      <c r="E38" s="149">
        <f>D38+E37</f>
        <v>48877379.666622087</v>
      </c>
      <c r="F38" s="149">
        <f t="shared" ref="F38:G38" si="13">E38+F37</f>
        <v>87275990.275788635</v>
      </c>
      <c r="G38" s="149">
        <f t="shared" si="13"/>
        <v>133211916.48530225</v>
      </c>
      <c r="H38" s="36"/>
      <c r="I38" s="36"/>
    </row>
  </sheetData>
  <mergeCells count="7">
    <mergeCell ref="C22:G22"/>
    <mergeCell ref="C3:G3"/>
    <mergeCell ref="A1:G1"/>
    <mergeCell ref="A18:G18"/>
    <mergeCell ref="A20:G20"/>
    <mergeCell ref="A19:G19"/>
    <mergeCell ref="A2:G2"/>
  </mergeCells>
  <pageMargins left="0.7" right="0.7" top="0.75" bottom="0.75" header="0.3" footer="0.3"/>
  <ignoredErrors>
    <ignoredError sqref="C28:G2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47"/>
  <sheetViews>
    <sheetView topLeftCell="A16" workbookViewId="0">
      <selection activeCell="A2" sqref="A2:H2"/>
    </sheetView>
  </sheetViews>
  <sheetFormatPr baseColWidth="10" defaultRowHeight="15" x14ac:dyDescent="0.2"/>
  <cols>
    <col min="1" max="1" width="38.6640625" customWidth="1"/>
    <col min="3" max="7" width="12.44140625" bestFit="1" customWidth="1"/>
  </cols>
  <sheetData>
    <row r="1" spans="1:10" ht="15.75" x14ac:dyDescent="0.25">
      <c r="A1" s="379" t="s">
        <v>134</v>
      </c>
      <c r="B1" s="379"/>
      <c r="C1" s="379"/>
      <c r="D1" s="379"/>
      <c r="E1" s="379"/>
      <c r="F1" s="379"/>
      <c r="G1" s="379"/>
      <c r="H1" s="379"/>
      <c r="I1" s="16"/>
      <c r="J1" s="16"/>
    </row>
    <row r="2" spans="1:10" ht="15.75" x14ac:dyDescent="0.25">
      <c r="A2" s="380" t="s">
        <v>135</v>
      </c>
      <c r="B2" s="380"/>
      <c r="C2" s="380"/>
      <c r="D2" s="380"/>
      <c r="E2" s="380"/>
      <c r="F2" s="380"/>
      <c r="G2" s="380"/>
      <c r="H2" s="380"/>
      <c r="I2" s="22"/>
      <c r="J2" s="22"/>
    </row>
    <row r="3" spans="1:10" x14ac:dyDescent="0.2">
      <c r="A3" s="410"/>
      <c r="B3" s="410"/>
      <c r="C3" s="410"/>
      <c r="D3" s="410"/>
      <c r="E3" s="410"/>
      <c r="F3" s="410"/>
      <c r="G3" s="410"/>
      <c r="H3" s="410"/>
      <c r="I3" s="16"/>
      <c r="J3" s="16"/>
    </row>
    <row r="4" spans="1:10" x14ac:dyDescent="0.2">
      <c r="A4" s="7" t="s">
        <v>1</v>
      </c>
      <c r="B4" s="155" t="s">
        <v>2</v>
      </c>
      <c r="C4" s="155"/>
      <c r="D4" s="155" t="s">
        <v>3</v>
      </c>
      <c r="E4" s="155"/>
      <c r="F4" s="155"/>
      <c r="G4" s="155"/>
      <c r="H4" s="385" t="s">
        <v>140</v>
      </c>
      <c r="I4" s="14"/>
    </row>
    <row r="5" spans="1:10" x14ac:dyDescent="0.2">
      <c r="A5" s="9" t="s">
        <v>6</v>
      </c>
      <c r="B5" s="11">
        <v>1</v>
      </c>
      <c r="C5" s="11">
        <v>2</v>
      </c>
      <c r="D5" s="26">
        <v>3</v>
      </c>
      <c r="E5" s="11">
        <v>4</v>
      </c>
      <c r="F5" s="11">
        <v>5</v>
      </c>
      <c r="G5" s="11">
        <v>6</v>
      </c>
      <c r="H5" s="386"/>
      <c r="I5" s="153"/>
    </row>
    <row r="6" spans="1:10" x14ac:dyDescent="0.2">
      <c r="A6" s="6" t="s">
        <v>4</v>
      </c>
      <c r="B6" s="6"/>
      <c r="C6" s="6"/>
      <c r="D6" s="10">
        <v>0.6</v>
      </c>
      <c r="E6" s="10">
        <v>0.8</v>
      </c>
      <c r="F6" s="10">
        <v>1</v>
      </c>
      <c r="G6" s="10">
        <v>1</v>
      </c>
      <c r="H6" s="387"/>
      <c r="I6" s="124"/>
    </row>
    <row r="7" spans="1:10" ht="15.75" x14ac:dyDescent="0.2">
      <c r="A7" s="37" t="s">
        <v>136</v>
      </c>
      <c r="I7" s="15"/>
    </row>
    <row r="8" spans="1:10" x14ac:dyDescent="0.2">
      <c r="A8" s="23" t="s">
        <v>137</v>
      </c>
      <c r="B8" s="5">
        <f>Hoja5!B24</f>
        <v>25299022</v>
      </c>
      <c r="C8" s="5">
        <f>Hoja5!C24</f>
        <v>29743338.132214665</v>
      </c>
      <c r="D8" s="5">
        <f>Hoja5!D24</f>
        <v>1702750.513450006</v>
      </c>
      <c r="E8" s="5">
        <f>Hoja5!E24</f>
        <v>2031253.9230499994</v>
      </c>
      <c r="F8" s="5">
        <f>Hoja5!F24</f>
        <v>2128834.4669500012</v>
      </c>
      <c r="G8" s="5">
        <f>Hoja5!G24</f>
        <v>2165875.7119999975</v>
      </c>
      <c r="H8" s="5">
        <f>Hoja5!H24</f>
        <v>0</v>
      </c>
      <c r="I8" s="33"/>
    </row>
    <row r="9" spans="1:10" x14ac:dyDescent="0.2">
      <c r="A9" s="23" t="s">
        <v>138</v>
      </c>
      <c r="B9" s="5"/>
      <c r="C9" s="5">
        <f>Hoja1!C28</f>
        <v>147605000</v>
      </c>
      <c r="D9" s="5">
        <f>Hoja1!D28</f>
        <v>169340000</v>
      </c>
      <c r="E9" s="5">
        <f>Hoja1!E28</f>
        <v>192730000</v>
      </c>
      <c r="F9" s="5">
        <f>Hoja1!F28</f>
        <v>218390000</v>
      </c>
      <c r="G9" s="5">
        <f>Hoja1!G28</f>
        <v>237855000</v>
      </c>
      <c r="H9" s="5"/>
      <c r="I9" s="36"/>
    </row>
    <row r="10" spans="1:10" x14ac:dyDescent="0.2">
      <c r="A10" s="23" t="s">
        <v>139</v>
      </c>
      <c r="B10" s="149"/>
      <c r="C10" s="149"/>
      <c r="D10" s="149"/>
      <c r="E10" s="149"/>
      <c r="F10" s="149"/>
      <c r="G10" s="149"/>
      <c r="H10" s="149">
        <f>Hoja1!J91+Hoja3!H146</f>
        <v>28257613.087664668</v>
      </c>
      <c r="I10" s="15"/>
    </row>
    <row r="11" spans="1:10" x14ac:dyDescent="0.2">
      <c r="A11" s="23" t="s">
        <v>142</v>
      </c>
      <c r="B11" s="96">
        <f>B8+B9+B10</f>
        <v>25299022</v>
      </c>
      <c r="C11" s="96">
        <f t="shared" ref="C11:G11" si="0">C8+C9+C10</f>
        <v>177348338.13221467</v>
      </c>
      <c r="D11" s="96">
        <f t="shared" si="0"/>
        <v>171042750.51345</v>
      </c>
      <c r="E11" s="96">
        <f t="shared" si="0"/>
        <v>194761253.92304999</v>
      </c>
      <c r="F11" s="96">
        <f t="shared" si="0"/>
        <v>220518834.46695</v>
      </c>
      <c r="G11" s="96">
        <f t="shared" si="0"/>
        <v>240020875.71200001</v>
      </c>
      <c r="H11" s="96">
        <f t="shared" ref="H11" si="1">H8+H9+H10</f>
        <v>28257613.087664668</v>
      </c>
      <c r="I11" s="33"/>
    </row>
    <row r="12" spans="1:10" x14ac:dyDescent="0.2">
      <c r="A12" s="23" t="s">
        <v>143</v>
      </c>
      <c r="B12" s="5"/>
      <c r="C12" s="5"/>
      <c r="D12" s="5"/>
      <c r="E12" s="5"/>
      <c r="F12" s="5"/>
      <c r="G12" s="5"/>
      <c r="H12" s="5"/>
      <c r="I12" s="15"/>
    </row>
    <row r="13" spans="1:10" x14ac:dyDescent="0.2">
      <c r="A13" s="23" t="s">
        <v>144</v>
      </c>
      <c r="B13" s="5">
        <f>Hoja5!B10</f>
        <v>20299022</v>
      </c>
      <c r="C13" s="5">
        <f>Hoja5!C10</f>
        <v>29743338.132214665</v>
      </c>
      <c r="D13" s="5">
        <f>Hoja5!D10</f>
        <v>1702750.5134500042</v>
      </c>
      <c r="E13" s="5">
        <f>Hoja5!E10</f>
        <v>2031253.9230499975</v>
      </c>
      <c r="F13" s="5">
        <f>Hoja5!F10</f>
        <v>2128834.4669500031</v>
      </c>
      <c r="G13" s="5">
        <f>Hoja5!G10</f>
        <v>2165875.7119999975</v>
      </c>
      <c r="H13" s="5"/>
      <c r="I13" s="33"/>
    </row>
    <row r="14" spans="1:10" ht="30" x14ac:dyDescent="0.2">
      <c r="A14" s="23" t="s">
        <v>148</v>
      </c>
      <c r="B14" s="5"/>
      <c r="C14" s="5">
        <f>Hoja3!C109</f>
        <v>134465656.63545603</v>
      </c>
      <c r="D14" s="5">
        <f>Hoja3!D109</f>
        <v>139660407.59345603</v>
      </c>
      <c r="E14" s="5">
        <f>Hoja3!E109</f>
        <v>147199605.49545601</v>
      </c>
      <c r="F14" s="5">
        <f>Hoja3!F109</f>
        <v>155291047.19345602</v>
      </c>
      <c r="G14" s="5">
        <f>Hoja3!G109</f>
        <v>163405278.87345603</v>
      </c>
      <c r="H14" s="5"/>
      <c r="I14" s="33"/>
    </row>
    <row r="15" spans="1:10" x14ac:dyDescent="0.2">
      <c r="A15" s="27" t="s">
        <v>146</v>
      </c>
      <c r="B15" s="5"/>
      <c r="C15" s="5">
        <f>Hoja1!C135</f>
        <v>1050000</v>
      </c>
      <c r="D15" s="5">
        <f>Hoja1!D135</f>
        <v>911646.40428406186</v>
      </c>
      <c r="E15" s="5">
        <f>Hoja1!E135</f>
        <v>744238.55346777674</v>
      </c>
      <c r="F15" s="5">
        <f>Hoja1!F135</f>
        <v>541675.0539800718</v>
      </c>
      <c r="G15" s="5">
        <f>Hoja1!G135</f>
        <v>296573.21959994885</v>
      </c>
      <c r="H15" s="5"/>
      <c r="I15" s="15"/>
    </row>
    <row r="16" spans="1:10" x14ac:dyDescent="0.2">
      <c r="A16" s="27" t="s">
        <v>147</v>
      </c>
      <c r="B16" s="5"/>
      <c r="C16" s="5">
        <f>Hoja1!C136</f>
        <v>658826.64626637171</v>
      </c>
      <c r="D16" s="5">
        <f>Hoja1!D136</f>
        <v>797180.24198230985</v>
      </c>
      <c r="E16" s="5">
        <f>Hoja1!E136</f>
        <v>964588.09279859497</v>
      </c>
      <c r="F16" s="5">
        <f>Hoja1!F136</f>
        <v>1167151.5922862999</v>
      </c>
      <c r="G16" s="5">
        <f>Hoja1!G136</f>
        <v>1412253.4266664227</v>
      </c>
      <c r="H16" s="5"/>
      <c r="I16" s="277"/>
    </row>
    <row r="17" spans="1:10" x14ac:dyDescent="0.2">
      <c r="A17" s="27" t="s">
        <v>149</v>
      </c>
      <c r="B17" s="5"/>
      <c r="C17" s="5">
        <f>Hoja6!C34</f>
        <v>3012397.9075903948</v>
      </c>
      <c r="D17" s="5">
        <f>Hoja6!D34</f>
        <v>8849908.8307909723</v>
      </c>
      <c r="E17" s="5">
        <f>Hoja6!E34</f>
        <v>14456282.312876677</v>
      </c>
      <c r="F17" s="5">
        <f>Hoja6!F34</f>
        <v>20676174.943397369</v>
      </c>
      <c r="G17" s="5">
        <f>Hoja6!G34</f>
        <v>24734729.49743041</v>
      </c>
      <c r="H17" s="5"/>
      <c r="I17" s="33"/>
    </row>
    <row r="18" spans="1:10" x14ac:dyDescent="0.2">
      <c r="A18" s="27" t="s">
        <v>150</v>
      </c>
      <c r="B18" s="5"/>
      <c r="C18" s="5">
        <v>0</v>
      </c>
      <c r="D18" s="5">
        <v>0</v>
      </c>
      <c r="E18" s="5">
        <v>0</v>
      </c>
      <c r="F18" s="5">
        <v>0</v>
      </c>
      <c r="G18" s="5">
        <v>0</v>
      </c>
      <c r="H18" s="5"/>
      <c r="I18" s="15"/>
    </row>
    <row r="19" spans="1:10" x14ac:dyDescent="0.2">
      <c r="A19" s="27" t="s">
        <v>151</v>
      </c>
      <c r="B19" s="96">
        <f>B13+B14+B15+B16+B17+B18</f>
        <v>20299022</v>
      </c>
      <c r="C19" s="96">
        <f t="shared" ref="C19:G19" si="2">C13+C14+C15+C16+C17+C18</f>
        <v>168930219.32152745</v>
      </c>
      <c r="D19" s="96">
        <f t="shared" si="2"/>
        <v>151921893.58396336</v>
      </c>
      <c r="E19" s="96">
        <f t="shared" si="2"/>
        <v>165395968.37764904</v>
      </c>
      <c r="F19" s="96">
        <f t="shared" si="2"/>
        <v>179804883.25006977</v>
      </c>
      <c r="G19" s="96">
        <f t="shared" si="2"/>
        <v>192014710.7291528</v>
      </c>
      <c r="H19" s="96">
        <f>H13+H14+H15+H16+H17+H18</f>
        <v>0</v>
      </c>
      <c r="I19" s="33"/>
    </row>
    <row r="20" spans="1:10" x14ac:dyDescent="0.2">
      <c r="A20" s="27" t="s">
        <v>152</v>
      </c>
      <c r="B20" s="96">
        <f>B11-B19</f>
        <v>5000000</v>
      </c>
      <c r="C20" s="96">
        <f t="shared" ref="C20:G20" si="3">C11-C19</f>
        <v>8418118.8106872141</v>
      </c>
      <c r="D20" s="96">
        <f t="shared" si="3"/>
        <v>19120856.929486632</v>
      </c>
      <c r="E20" s="96">
        <f t="shared" si="3"/>
        <v>29365285.545400947</v>
      </c>
      <c r="F20" s="96">
        <f t="shared" si="3"/>
        <v>40713951.216880232</v>
      </c>
      <c r="G20" s="96">
        <f t="shared" si="3"/>
        <v>48006164.982847214</v>
      </c>
      <c r="H20" s="96">
        <f>H11-H19</f>
        <v>28257613.087664668</v>
      </c>
      <c r="I20" s="33"/>
    </row>
    <row r="21" spans="1:10" x14ac:dyDescent="0.2">
      <c r="A21" s="27" t="s">
        <v>153</v>
      </c>
      <c r="B21" s="96">
        <f>B20</f>
        <v>5000000</v>
      </c>
      <c r="C21" s="96">
        <f>C20+B20</f>
        <v>13418118.810687214</v>
      </c>
      <c r="D21" s="96">
        <f>C21+D20</f>
        <v>32538975.740173846</v>
      </c>
      <c r="E21" s="96">
        <f t="shared" ref="E21:H21" si="4">D21+E20</f>
        <v>61904261.285574794</v>
      </c>
      <c r="F21" s="96">
        <f t="shared" si="4"/>
        <v>102618212.50245503</v>
      </c>
      <c r="G21" s="96">
        <f t="shared" si="4"/>
        <v>150624377.48530224</v>
      </c>
      <c r="H21" s="96">
        <f t="shared" si="4"/>
        <v>178881990.5729669</v>
      </c>
      <c r="I21" s="33"/>
    </row>
    <row r="22" spans="1:10" x14ac:dyDescent="0.2">
      <c r="A22" s="27"/>
    </row>
    <row r="23" spans="1:10" x14ac:dyDescent="0.2">
      <c r="A23" s="27"/>
    </row>
    <row r="24" spans="1:10" ht="15.75" x14ac:dyDescent="0.25">
      <c r="A24" s="379" t="s">
        <v>154</v>
      </c>
      <c r="B24" s="379"/>
      <c r="C24" s="379"/>
      <c r="D24" s="379"/>
      <c r="E24" s="379"/>
      <c r="F24" s="379"/>
      <c r="G24" s="379"/>
      <c r="H24" s="379"/>
      <c r="I24" s="16"/>
      <c r="J24" s="16"/>
    </row>
    <row r="25" spans="1:10" ht="15.75" x14ac:dyDescent="0.25">
      <c r="A25" s="380" t="s">
        <v>135</v>
      </c>
      <c r="B25" s="380"/>
      <c r="C25" s="380"/>
      <c r="D25" s="380"/>
      <c r="E25" s="380"/>
      <c r="F25" s="380"/>
      <c r="G25" s="380"/>
      <c r="H25" s="380"/>
      <c r="I25" s="22"/>
      <c r="J25" s="22"/>
    </row>
    <row r="26" spans="1:10" ht="15.75" customHeight="1" x14ac:dyDescent="0.2">
      <c r="A26" s="422" t="s">
        <v>125</v>
      </c>
      <c r="B26" s="422"/>
      <c r="C26" s="422"/>
      <c r="D26" s="422"/>
      <c r="E26" s="422"/>
      <c r="F26" s="422"/>
      <c r="G26" s="422"/>
      <c r="H26" s="422"/>
      <c r="I26" s="278"/>
      <c r="J26" s="278"/>
    </row>
    <row r="27" spans="1:10" x14ac:dyDescent="0.2">
      <c r="A27" s="410"/>
      <c r="B27" s="410"/>
      <c r="C27" s="410"/>
      <c r="D27" s="410"/>
      <c r="E27" s="410"/>
      <c r="F27" s="410"/>
      <c r="G27" s="410"/>
      <c r="H27" s="410"/>
      <c r="I27" s="16"/>
      <c r="J27" s="16"/>
    </row>
    <row r="28" spans="1:10" x14ac:dyDescent="0.2">
      <c r="A28" s="7" t="s">
        <v>1</v>
      </c>
      <c r="B28" s="300" t="s">
        <v>2</v>
      </c>
      <c r="C28" s="388" t="s">
        <v>3</v>
      </c>
      <c r="D28" s="388"/>
      <c r="E28" s="388"/>
      <c r="F28" s="388"/>
      <c r="G28" s="388"/>
      <c r="H28" s="385" t="s">
        <v>140</v>
      </c>
      <c r="I28" s="15"/>
    </row>
    <row r="29" spans="1:10" x14ac:dyDescent="0.2">
      <c r="A29" s="9" t="s">
        <v>6</v>
      </c>
      <c r="B29" s="11">
        <v>1</v>
      </c>
      <c r="C29" s="11">
        <v>2</v>
      </c>
      <c r="D29" s="26">
        <v>3</v>
      </c>
      <c r="E29" s="11">
        <v>4</v>
      </c>
      <c r="F29" s="11">
        <v>5</v>
      </c>
      <c r="G29" s="11">
        <v>6</v>
      </c>
      <c r="H29" s="386"/>
      <c r="I29" s="153"/>
    </row>
    <row r="30" spans="1:10" x14ac:dyDescent="0.2">
      <c r="A30" s="6" t="s">
        <v>4</v>
      </c>
      <c r="B30" s="6"/>
      <c r="C30" s="6"/>
      <c r="D30" s="10">
        <v>0.6</v>
      </c>
      <c r="E30" s="10">
        <v>0.8</v>
      </c>
      <c r="F30" s="10">
        <v>1</v>
      </c>
      <c r="G30" s="10">
        <v>1</v>
      </c>
      <c r="H30" s="387"/>
      <c r="I30" s="124"/>
    </row>
    <row r="31" spans="1:10" x14ac:dyDescent="0.2">
      <c r="A31" s="27" t="s">
        <v>136</v>
      </c>
      <c r="I31" s="15"/>
    </row>
    <row r="32" spans="1:10" x14ac:dyDescent="0.2">
      <c r="A32" s="27" t="s">
        <v>137</v>
      </c>
      <c r="B32" s="5">
        <f>Hoja5!B24</f>
        <v>25299022</v>
      </c>
      <c r="C32" s="5">
        <f>Hoja5!C24</f>
        <v>29743338.132214665</v>
      </c>
      <c r="D32" s="5">
        <f>Hoja5!D24</f>
        <v>1702750.513450006</v>
      </c>
      <c r="E32" s="5">
        <f>Hoja5!E24</f>
        <v>2031253.9230499994</v>
      </c>
      <c r="F32" s="5">
        <f>Hoja5!F24</f>
        <v>2128834.4669500012</v>
      </c>
      <c r="G32" s="5">
        <f>Hoja5!G24</f>
        <v>2165875.7119999975</v>
      </c>
      <c r="H32" s="5"/>
      <c r="I32" s="72"/>
    </row>
    <row r="33" spans="1:10" x14ac:dyDescent="0.2">
      <c r="A33" s="27" t="s">
        <v>155</v>
      </c>
      <c r="B33" s="5"/>
      <c r="C33" s="5">
        <f>Hoja6!C29</f>
        <v>9656851.1645439863</v>
      </c>
      <c r="D33" s="5">
        <f>Hoja6!D29</f>
        <v>26197100.206543982</v>
      </c>
      <c r="E33" s="5">
        <f>Hoja6!E29</f>
        <v>42047902.304544002</v>
      </c>
      <c r="F33" s="5">
        <f>Hoja6!F29</f>
        <v>59616460.606543988</v>
      </c>
      <c r="G33" s="5">
        <f>Hoja6!G29</f>
        <v>70967228.926543981</v>
      </c>
      <c r="H33" s="5"/>
      <c r="I33" s="72"/>
    </row>
    <row r="34" spans="1:10" x14ac:dyDescent="0.2">
      <c r="A34" s="27" t="s">
        <v>156</v>
      </c>
      <c r="B34" s="5"/>
      <c r="C34" s="5">
        <f>Hoja1!E91</f>
        <v>1598012.2</v>
      </c>
      <c r="D34" s="5">
        <f>Hoja1!F91</f>
        <v>1598012.2</v>
      </c>
      <c r="E34" s="5">
        <f>Hoja1!G91</f>
        <v>1598012.2</v>
      </c>
      <c r="F34" s="5">
        <f>Hoja1!H91</f>
        <v>1598012.2</v>
      </c>
      <c r="G34" s="5">
        <f>Hoja1!I91</f>
        <v>1598012.2</v>
      </c>
      <c r="H34" s="5"/>
      <c r="I34" s="72"/>
    </row>
    <row r="35" spans="1:10" x14ac:dyDescent="0.2">
      <c r="A35" s="27" t="s">
        <v>157</v>
      </c>
      <c r="B35" s="5"/>
      <c r="C35" s="5">
        <f>Hoja1!E127</f>
        <v>1884480</v>
      </c>
      <c r="D35" s="5">
        <f>Hoja1!F127</f>
        <v>1884480</v>
      </c>
      <c r="E35" s="5">
        <f>Hoja1!G127</f>
        <v>1884480</v>
      </c>
      <c r="F35" s="5">
        <f>Hoja1!H127</f>
        <v>1884480</v>
      </c>
      <c r="G35" s="5">
        <f>Hoja1!I127</f>
        <v>1884480</v>
      </c>
      <c r="H35" s="5"/>
      <c r="I35" s="72"/>
    </row>
    <row r="36" spans="1:10" x14ac:dyDescent="0.2">
      <c r="A36" s="27" t="s">
        <v>158</v>
      </c>
      <c r="B36" s="5"/>
      <c r="C36" s="5"/>
      <c r="D36" s="5"/>
      <c r="E36" s="5"/>
      <c r="F36" s="5"/>
      <c r="G36" s="5"/>
      <c r="H36" s="5">
        <f>H10</f>
        <v>28257613.087664668</v>
      </c>
      <c r="I36" s="72"/>
    </row>
    <row r="37" spans="1:10" x14ac:dyDescent="0.2">
      <c r="A37" s="27" t="s">
        <v>142</v>
      </c>
      <c r="B37" s="96">
        <f>B32+B33+B34+B35+B36</f>
        <v>25299022</v>
      </c>
      <c r="C37" s="96">
        <f t="shared" ref="C37:G37" si="5">C32+C33+C34+C35+C36</f>
        <v>42882681.496758655</v>
      </c>
      <c r="D37" s="96">
        <f t="shared" si="5"/>
        <v>31382342.919993985</v>
      </c>
      <c r="E37" s="96">
        <f t="shared" si="5"/>
        <v>47561648.427594006</v>
      </c>
      <c r="F37" s="96">
        <f t="shared" si="5"/>
        <v>65227787.27349399</v>
      </c>
      <c r="G37" s="96">
        <f t="shared" si="5"/>
        <v>76615596.838543981</v>
      </c>
      <c r="H37" s="96">
        <f>H32+H33+H34+H35+H36</f>
        <v>28257613.087664668</v>
      </c>
      <c r="I37" s="72"/>
    </row>
    <row r="38" spans="1:10" x14ac:dyDescent="0.2">
      <c r="A38" s="27" t="s">
        <v>143</v>
      </c>
      <c r="B38" s="5"/>
      <c r="C38" s="5"/>
      <c r="D38" s="5"/>
      <c r="E38" s="5"/>
      <c r="F38" s="5"/>
      <c r="G38" s="5"/>
      <c r="H38" s="5"/>
      <c r="I38" s="72"/>
    </row>
    <row r="39" spans="1:10" x14ac:dyDescent="0.2">
      <c r="A39" s="27" t="s">
        <v>144</v>
      </c>
      <c r="B39" s="5">
        <f>B13</f>
        <v>20299022</v>
      </c>
      <c r="C39" s="5">
        <f t="shared" ref="C39:G39" si="6">C13</f>
        <v>29743338.132214665</v>
      </c>
      <c r="D39" s="5">
        <f t="shared" si="6"/>
        <v>1702750.5134500042</v>
      </c>
      <c r="E39" s="5">
        <f t="shared" si="6"/>
        <v>2031253.9230499975</v>
      </c>
      <c r="F39" s="5">
        <f t="shared" si="6"/>
        <v>2128834.4669500031</v>
      </c>
      <c r="G39" s="5">
        <f t="shared" si="6"/>
        <v>2165875.7119999975</v>
      </c>
      <c r="H39" s="5"/>
      <c r="I39" s="72"/>
    </row>
    <row r="40" spans="1:10" x14ac:dyDescent="0.2">
      <c r="A40" s="27" t="s">
        <v>159</v>
      </c>
      <c r="B40" s="5"/>
      <c r="C40" s="5">
        <f>C15</f>
        <v>1050000</v>
      </c>
      <c r="D40" s="5">
        <f t="shared" ref="D40:G40" si="7">D15</f>
        <v>911646.40428406186</v>
      </c>
      <c r="E40" s="5">
        <f t="shared" si="7"/>
        <v>744238.55346777674</v>
      </c>
      <c r="F40" s="5">
        <f t="shared" si="7"/>
        <v>541675.0539800718</v>
      </c>
      <c r="G40" s="5">
        <f t="shared" si="7"/>
        <v>296573.21959994885</v>
      </c>
      <c r="H40" s="5"/>
      <c r="I40" s="72"/>
    </row>
    <row r="41" spans="1:10" x14ac:dyDescent="0.2">
      <c r="A41" s="27" t="s">
        <v>160</v>
      </c>
      <c r="B41" s="5"/>
      <c r="C41" s="5">
        <f>C16</f>
        <v>658826.64626637171</v>
      </c>
      <c r="D41" s="5">
        <f t="shared" ref="D41:G41" si="8">D16</f>
        <v>797180.24198230985</v>
      </c>
      <c r="E41" s="5">
        <f t="shared" si="8"/>
        <v>964588.09279859497</v>
      </c>
      <c r="F41" s="5">
        <f t="shared" si="8"/>
        <v>1167151.5922862999</v>
      </c>
      <c r="G41" s="5">
        <f t="shared" si="8"/>
        <v>1412253.4266664227</v>
      </c>
      <c r="H41" s="5"/>
      <c r="I41" s="72"/>
    </row>
    <row r="42" spans="1:10" x14ac:dyDescent="0.2">
      <c r="A42" s="27" t="s">
        <v>161</v>
      </c>
      <c r="B42" s="5"/>
      <c r="C42" s="5">
        <f>C17</f>
        <v>3012397.9075903948</v>
      </c>
      <c r="D42" s="5">
        <f t="shared" ref="D42:G42" si="9">D17</f>
        <v>8849908.8307909723</v>
      </c>
      <c r="E42" s="5">
        <f t="shared" si="9"/>
        <v>14456282.312876677</v>
      </c>
      <c r="F42" s="5">
        <f t="shared" si="9"/>
        <v>20676174.943397369</v>
      </c>
      <c r="G42" s="5">
        <f t="shared" si="9"/>
        <v>24734729.49743041</v>
      </c>
      <c r="H42" s="5"/>
      <c r="I42" s="72"/>
    </row>
    <row r="43" spans="1:10" x14ac:dyDescent="0.2">
      <c r="A43" s="27" t="s">
        <v>162</v>
      </c>
      <c r="B43" s="5"/>
      <c r="C43" s="5">
        <v>0</v>
      </c>
      <c r="D43" s="5">
        <v>0</v>
      </c>
      <c r="E43" s="5">
        <v>0</v>
      </c>
      <c r="F43" s="5">
        <v>0</v>
      </c>
      <c r="G43" s="5">
        <v>0</v>
      </c>
      <c r="H43" s="5"/>
      <c r="I43" s="72"/>
    </row>
    <row r="44" spans="1:10" x14ac:dyDescent="0.2">
      <c r="A44" s="27" t="s">
        <v>151</v>
      </c>
      <c r="B44" s="96">
        <f>B39+B40+B41+B42+B43</f>
        <v>20299022</v>
      </c>
      <c r="C44" s="96">
        <f t="shared" ref="C44:G44" si="10">C39+C40+C41+C42+C43</f>
        <v>34464562.686071433</v>
      </c>
      <c r="D44" s="96">
        <f t="shared" si="10"/>
        <v>12261485.990507349</v>
      </c>
      <c r="E44" s="96">
        <f t="shared" si="10"/>
        <v>18196362.882193048</v>
      </c>
      <c r="F44" s="96">
        <f t="shared" si="10"/>
        <v>24513836.056613743</v>
      </c>
      <c r="G44" s="96">
        <f t="shared" si="10"/>
        <v>28609431.855696779</v>
      </c>
      <c r="H44" s="96"/>
      <c r="I44" s="72"/>
    </row>
    <row r="45" spans="1:10" x14ac:dyDescent="0.2">
      <c r="A45" s="27" t="s">
        <v>152</v>
      </c>
      <c r="B45" s="275">
        <f>B37-B44</f>
        <v>5000000</v>
      </c>
      <c r="C45" s="275">
        <f t="shared" ref="C45:G45" si="11">C37-C44</f>
        <v>8418118.8106872216</v>
      </c>
      <c r="D45" s="275">
        <f t="shared" si="11"/>
        <v>19120856.929486636</v>
      </c>
      <c r="E45" s="275">
        <f t="shared" si="11"/>
        <v>29365285.545400959</v>
      </c>
      <c r="F45" s="275">
        <f t="shared" si="11"/>
        <v>40713951.216880247</v>
      </c>
      <c r="G45" s="275">
        <f t="shared" si="11"/>
        <v>48006164.982847199</v>
      </c>
      <c r="H45" s="275">
        <f>H37-H44</f>
        <v>28257613.087664668</v>
      </c>
      <c r="I45" s="72"/>
    </row>
    <row r="46" spans="1:10" x14ac:dyDescent="0.2">
      <c r="A46" s="28" t="s">
        <v>163</v>
      </c>
      <c r="B46" s="96">
        <f>B45</f>
        <v>5000000</v>
      </c>
      <c r="C46" s="96">
        <f>C45+B45</f>
        <v>13418118.810687222</v>
      </c>
      <c r="D46" s="96">
        <f>C46+D45</f>
        <v>32538975.740173858</v>
      </c>
      <c r="E46" s="96">
        <f t="shared" ref="E46:F46" si="12">D46+E45</f>
        <v>61904261.285574816</v>
      </c>
      <c r="F46" s="96">
        <f t="shared" si="12"/>
        <v>102618212.50245506</v>
      </c>
      <c r="G46" s="96">
        <f>F46+G45</f>
        <v>150624377.48530227</v>
      </c>
      <c r="H46" s="96">
        <f>G46+H45</f>
        <v>178881990.57296693</v>
      </c>
      <c r="I46" s="72"/>
    </row>
    <row r="47" spans="1:10" x14ac:dyDescent="0.2">
      <c r="B47" s="5"/>
      <c r="C47" s="5"/>
      <c r="D47" s="5"/>
      <c r="E47" s="5"/>
      <c r="F47" s="5"/>
      <c r="G47" s="5"/>
      <c r="H47" s="5"/>
      <c r="I47" s="5"/>
      <c r="J47" s="5"/>
    </row>
  </sheetData>
  <mergeCells count="10">
    <mergeCell ref="H28:H30"/>
    <mergeCell ref="H4:H6"/>
    <mergeCell ref="A1:H1"/>
    <mergeCell ref="A2:H2"/>
    <mergeCell ref="A3:H3"/>
    <mergeCell ref="A24:H24"/>
    <mergeCell ref="A25:H25"/>
    <mergeCell ref="A26:H26"/>
    <mergeCell ref="A27:H27"/>
    <mergeCell ref="C28:G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4"/>
  <sheetViews>
    <sheetView workbookViewId="0">
      <selection activeCell="A2" sqref="A2:G2"/>
    </sheetView>
  </sheetViews>
  <sheetFormatPr baseColWidth="10" defaultRowHeight="15" x14ac:dyDescent="0.2"/>
  <cols>
    <col min="1" max="1" width="39.33203125" customWidth="1"/>
    <col min="5" max="5" width="11.5546875" customWidth="1"/>
    <col min="6" max="6" width="12.44140625" bestFit="1" customWidth="1"/>
    <col min="7" max="7" width="11.77734375" customWidth="1"/>
    <col min="8" max="9" width="11.5546875" style="15"/>
  </cols>
  <sheetData>
    <row r="1" spans="1:10" ht="15.75" x14ac:dyDescent="0.25">
      <c r="A1" s="379" t="s">
        <v>164</v>
      </c>
      <c r="B1" s="379"/>
      <c r="C1" s="379"/>
      <c r="D1" s="379"/>
      <c r="E1" s="379"/>
      <c r="F1" s="379"/>
      <c r="G1" s="379"/>
      <c r="H1" s="14"/>
      <c r="I1" s="14"/>
      <c r="J1" s="16"/>
    </row>
    <row r="2" spans="1:10" ht="15.75" x14ac:dyDescent="0.25">
      <c r="A2" s="380" t="s">
        <v>165</v>
      </c>
      <c r="B2" s="380"/>
      <c r="C2" s="380"/>
      <c r="D2" s="380"/>
      <c r="E2" s="380"/>
      <c r="F2" s="380"/>
      <c r="G2" s="380"/>
      <c r="H2" s="239"/>
      <c r="I2" s="239"/>
      <c r="J2" s="22"/>
    </row>
    <row r="3" spans="1:10" x14ac:dyDescent="0.2">
      <c r="A3" s="7" t="s">
        <v>1</v>
      </c>
      <c r="B3" s="279" t="s">
        <v>2</v>
      </c>
      <c r="C3" s="388" t="s">
        <v>3</v>
      </c>
      <c r="D3" s="388"/>
      <c r="E3" s="388"/>
      <c r="F3" s="388"/>
      <c r="G3" s="388"/>
      <c r="H3" s="14"/>
      <c r="I3" s="14"/>
      <c r="J3" s="152"/>
    </row>
    <row r="4" spans="1:10" x14ac:dyDescent="0.2">
      <c r="A4" s="9" t="s">
        <v>6</v>
      </c>
      <c r="B4" s="11">
        <v>1</v>
      </c>
      <c r="C4" s="11">
        <v>2</v>
      </c>
      <c r="D4" s="26">
        <v>3</v>
      </c>
      <c r="E4" s="11">
        <v>4</v>
      </c>
      <c r="F4" s="11">
        <v>5</v>
      </c>
      <c r="G4" s="11">
        <v>6</v>
      </c>
      <c r="H4" s="153"/>
      <c r="I4" s="153"/>
      <c r="J4" s="152"/>
    </row>
    <row r="5" spans="1:10" x14ac:dyDescent="0.2">
      <c r="A5" s="6" t="s">
        <v>4</v>
      </c>
      <c r="B5" s="6"/>
      <c r="C5" s="6"/>
      <c r="D5" s="10">
        <v>0.6</v>
      </c>
      <c r="E5" s="10">
        <v>0.8</v>
      </c>
      <c r="F5" s="10">
        <v>1</v>
      </c>
      <c r="G5" s="10">
        <v>1</v>
      </c>
      <c r="H5" s="124"/>
      <c r="I5" s="124"/>
      <c r="J5" s="152"/>
    </row>
    <row r="6" spans="1:10" x14ac:dyDescent="0.2">
      <c r="A6" s="23" t="s">
        <v>166</v>
      </c>
    </row>
    <row r="7" spans="1:10" x14ac:dyDescent="0.2">
      <c r="A7" s="23" t="s">
        <v>167</v>
      </c>
    </row>
    <row r="8" spans="1:10" x14ac:dyDescent="0.2">
      <c r="A8" s="23" t="s">
        <v>168</v>
      </c>
      <c r="B8" s="5">
        <f>Hoja7!B21</f>
        <v>5000000</v>
      </c>
      <c r="C8" s="5">
        <f>Hoja3!D121+Hoja7!C21</f>
        <v>19020854.503831215</v>
      </c>
      <c r="D8" s="5">
        <f>Hoja3!E121+Hoja7!D21</f>
        <v>38358159.389901176</v>
      </c>
      <c r="E8" s="5">
        <f>Hoja3!F121+Hoja7!E21</f>
        <v>68037578.181218788</v>
      </c>
      <c r="F8" s="5">
        <f>Hoja3!G121+Hoja7!F21</f>
        <v>109088672.80218236</v>
      </c>
      <c r="G8" s="5">
        <f>Hoja3!H121+Hoja7!G21</f>
        <v>157432930.77169624</v>
      </c>
      <c r="H8" s="33"/>
      <c r="I8" s="33"/>
    </row>
    <row r="9" spans="1:10" x14ac:dyDescent="0.2">
      <c r="A9" s="23" t="s">
        <v>68</v>
      </c>
      <c r="C9" s="5">
        <f>Hoja3!D129</f>
        <v>11495679.069621334</v>
      </c>
      <c r="D9" s="5">
        <f>Hoja3!E129</f>
        <v>11928574.982788002</v>
      </c>
      <c r="E9" s="5">
        <f>Hoja3!F129</f>
        <v>12556841.474621333</v>
      </c>
      <c r="F9" s="5">
        <f>Hoja3!G129</f>
        <v>13231128.282788001</v>
      </c>
      <c r="G9" s="5">
        <f>Hoja3!H129</f>
        <v>13907314.256121336</v>
      </c>
    </row>
    <row r="10" spans="1:10" x14ac:dyDescent="0.2">
      <c r="A10" s="23" t="s">
        <v>169</v>
      </c>
      <c r="C10" s="5">
        <f>Hoja3!D131</f>
        <v>5816632.7529999996</v>
      </c>
      <c r="D10" s="5">
        <f>Hoja3!E131</f>
        <v>6401858.6661666669</v>
      </c>
      <c r="E10" s="5">
        <f>Hoja3!F131</f>
        <v>7006777.6579999998</v>
      </c>
      <c r="F10" s="5">
        <f>Hoja3!G131</f>
        <v>7627557.7994999997</v>
      </c>
      <c r="G10" s="5">
        <f>Hoja3!H131</f>
        <v>8267333.7728333334</v>
      </c>
      <c r="H10" s="33"/>
      <c r="I10" s="33"/>
    </row>
    <row r="11" spans="1:10" x14ac:dyDescent="0.2">
      <c r="A11" s="23" t="s">
        <v>170</v>
      </c>
      <c r="C11" s="5">
        <f>Hoja3!D132</f>
        <v>2183915.989972</v>
      </c>
      <c r="D11" s="5">
        <f>Hoja3!E132</f>
        <v>2359483.7639220003</v>
      </c>
      <c r="E11" s="5">
        <f>Hoja3!F132</f>
        <v>2540959.461472</v>
      </c>
      <c r="F11" s="5">
        <f>Hoja3!G132</f>
        <v>2727193.5039220001</v>
      </c>
      <c r="G11" s="5">
        <f>Hoja3!H132</f>
        <v>2919126.2959220004</v>
      </c>
    </row>
    <row r="12" spans="1:10" x14ac:dyDescent="0.2">
      <c r="A12" s="23" t="s">
        <v>171</v>
      </c>
      <c r="C12" s="5">
        <f>Hoja3!D133</f>
        <v>4644374.6264773337</v>
      </c>
      <c r="D12" s="5">
        <f>Hoja3!E133</f>
        <v>4936987.5830606669</v>
      </c>
      <c r="E12" s="5">
        <f>Hoja3!F133</f>
        <v>5239447.0789773325</v>
      </c>
      <c r="F12" s="5">
        <f>Hoja3!G133</f>
        <v>5549837.1497273333</v>
      </c>
      <c r="G12" s="5">
        <f>Hoja3!H133</f>
        <v>5869725.1363940006</v>
      </c>
    </row>
    <row r="13" spans="1:10" ht="30" x14ac:dyDescent="0.2">
      <c r="A13" s="23" t="s">
        <v>172</v>
      </c>
      <c r="C13">
        <v>0</v>
      </c>
      <c r="D13" s="3">
        <v>0</v>
      </c>
      <c r="E13" s="3">
        <v>0</v>
      </c>
      <c r="F13" s="3">
        <v>0</v>
      </c>
      <c r="G13" s="3">
        <v>0</v>
      </c>
      <c r="H13" s="33"/>
      <c r="I13" s="33"/>
    </row>
    <row r="14" spans="1:10" ht="15.75" x14ac:dyDescent="0.25">
      <c r="A14" s="40" t="s">
        <v>173</v>
      </c>
      <c r="B14" s="283">
        <f>B8+B9+B10+B11+B12+B13</f>
        <v>5000000</v>
      </c>
      <c r="C14" s="283">
        <f>SUM(C8:C13)</f>
        <v>43161456.94290188</v>
      </c>
      <c r="D14" s="283">
        <f t="shared" ref="D14:G14" si="0">SUM(D8:D13)</f>
        <v>63985064.385838516</v>
      </c>
      <c r="E14" s="283">
        <f t="shared" si="0"/>
        <v>95381603.854289457</v>
      </c>
      <c r="F14" s="283">
        <f t="shared" si="0"/>
        <v>138224389.5381197</v>
      </c>
      <c r="G14" s="283">
        <f t="shared" si="0"/>
        <v>188396430.23296693</v>
      </c>
      <c r="H14" s="280"/>
      <c r="I14" s="280"/>
    </row>
    <row r="15" spans="1:10" x14ac:dyDescent="0.2">
      <c r="A15" s="23" t="s">
        <v>174</v>
      </c>
    </row>
    <row r="16" spans="1:10" x14ac:dyDescent="0.2">
      <c r="A16" s="23" t="s">
        <v>175</v>
      </c>
    </row>
    <row r="17" spans="1:9" x14ac:dyDescent="0.2">
      <c r="A17" s="23" t="s">
        <v>176</v>
      </c>
      <c r="B17" s="3"/>
      <c r="C17" s="3"/>
      <c r="D17" s="3"/>
      <c r="E17" s="3"/>
      <c r="F17" s="3"/>
      <c r="G17" s="3"/>
      <c r="H17" s="33"/>
      <c r="I17" s="33"/>
    </row>
    <row r="18" spans="1:9" x14ac:dyDescent="0.2">
      <c r="A18" s="23" t="s">
        <v>177</v>
      </c>
    </row>
    <row r="19" spans="1:9" x14ac:dyDescent="0.2">
      <c r="A19" s="23" t="s">
        <v>178</v>
      </c>
      <c r="B19" s="3"/>
      <c r="C19" s="3"/>
      <c r="D19" s="3"/>
      <c r="E19" s="3"/>
      <c r="F19" s="3"/>
      <c r="G19" s="3"/>
      <c r="H19" s="33"/>
      <c r="I19" s="33"/>
    </row>
    <row r="20" spans="1:9" x14ac:dyDescent="0.2">
      <c r="A20" s="23" t="s">
        <v>179</v>
      </c>
      <c r="B20" s="5">
        <f>Hoja1!B86</f>
        <v>5773122</v>
      </c>
      <c r="C20" s="5">
        <f>Hoja1!$B$86-Hoja1!E86</f>
        <v>5195809.8</v>
      </c>
      <c r="D20" s="5">
        <f>C20-Hoja1!F86</f>
        <v>4618497.5999999996</v>
      </c>
      <c r="E20" s="5">
        <f>D20-Hoja1!G86</f>
        <v>4041185.3999999994</v>
      </c>
      <c r="F20" s="5">
        <f>E20-Hoja1!H86</f>
        <v>3463873.1999999993</v>
      </c>
      <c r="G20" s="5">
        <f>F20-Hoja1!I86</f>
        <v>2886560.9999999991</v>
      </c>
      <c r="H20" s="33"/>
      <c r="I20" s="33"/>
    </row>
    <row r="21" spans="1:9" x14ac:dyDescent="0.2">
      <c r="A21" s="23" t="s">
        <v>488</v>
      </c>
      <c r="B21" s="5">
        <f>Hoja1!B88</f>
        <v>5103500</v>
      </c>
      <c r="C21" s="5">
        <f>Hoja1!B88-Hoja1!E88</f>
        <v>4082800</v>
      </c>
      <c r="D21" s="5">
        <f>C21-Hoja1!F88</f>
        <v>3062100</v>
      </c>
      <c r="E21" s="5">
        <f>D21-Hoja1!G88</f>
        <v>2041400</v>
      </c>
      <c r="F21" s="5">
        <f>E21-Hoja1!H88</f>
        <v>1020700</v>
      </c>
      <c r="G21" s="5">
        <f>F21-Hoja1!I88</f>
        <v>0</v>
      </c>
      <c r="H21" s="33"/>
      <c r="I21" s="33"/>
    </row>
    <row r="22" spans="1:9" x14ac:dyDescent="0.2">
      <c r="A22" s="23" t="s">
        <v>180</v>
      </c>
      <c r="C22" s="5"/>
      <c r="D22" s="5"/>
      <c r="E22" s="5"/>
      <c r="F22" s="5"/>
      <c r="G22" s="5"/>
      <c r="H22" s="33"/>
      <c r="I22" s="33"/>
    </row>
    <row r="23" spans="1:9" x14ac:dyDescent="0.2">
      <c r="A23" s="23" t="s">
        <v>181</v>
      </c>
      <c r="C23" s="5"/>
      <c r="D23" s="5"/>
      <c r="E23" s="5"/>
      <c r="F23" s="5"/>
      <c r="G23" s="5"/>
      <c r="H23" s="33"/>
      <c r="I23" s="33"/>
    </row>
    <row r="24" spans="1:9" x14ac:dyDescent="0.2">
      <c r="A24" s="23" t="s">
        <v>182</v>
      </c>
      <c r="B24" s="96">
        <f>B17+B19+B20+B21+B22+B23</f>
        <v>10876622</v>
      </c>
      <c r="C24" s="96">
        <f t="shared" ref="C24:G24" si="1">C17+C19+C20+C21+C22+C23</f>
        <v>9278609.8000000007</v>
      </c>
      <c r="D24" s="96">
        <f t="shared" si="1"/>
        <v>7680597.5999999996</v>
      </c>
      <c r="E24" s="96">
        <f t="shared" si="1"/>
        <v>6082585.3999999994</v>
      </c>
      <c r="F24" s="96">
        <f t="shared" si="1"/>
        <v>4484573.1999999993</v>
      </c>
      <c r="G24" s="96">
        <f t="shared" si="1"/>
        <v>2886560.9999999991</v>
      </c>
      <c r="H24" s="33"/>
      <c r="I24" s="33"/>
    </row>
    <row r="25" spans="1:9" x14ac:dyDescent="0.2">
      <c r="A25" s="23" t="s">
        <v>183</v>
      </c>
      <c r="B25" s="5"/>
      <c r="C25" s="5"/>
      <c r="D25" s="5"/>
      <c r="E25" s="5"/>
      <c r="F25" s="5"/>
      <c r="G25" s="5"/>
    </row>
    <row r="26" spans="1:9" x14ac:dyDescent="0.2">
      <c r="A26" s="23" t="s">
        <v>184</v>
      </c>
      <c r="B26" s="5">
        <f>Hoja1!B127</f>
        <v>9422400</v>
      </c>
      <c r="C26" s="5">
        <f>B26-Hoja1!E127</f>
        <v>7537920</v>
      </c>
      <c r="D26" s="5">
        <f>C26-Hoja1!F127</f>
        <v>5653440</v>
      </c>
      <c r="E26" s="5">
        <f>D26-Hoja1!G127</f>
        <v>3768960</v>
      </c>
      <c r="F26" s="5">
        <f>E26-Hoja1!H127</f>
        <v>1884480</v>
      </c>
      <c r="G26" s="5">
        <f>F26-Hoja1!I127</f>
        <v>0</v>
      </c>
    </row>
    <row r="27" spans="1:9" x14ac:dyDescent="0.2">
      <c r="A27" s="23" t="s">
        <v>185</v>
      </c>
      <c r="B27" s="96">
        <f>B26</f>
        <v>9422400</v>
      </c>
      <c r="C27" s="96">
        <f t="shared" ref="C27:G27" si="2">C26</f>
        <v>7537920</v>
      </c>
      <c r="D27" s="96">
        <f t="shared" si="2"/>
        <v>5653440</v>
      </c>
      <c r="E27" s="96">
        <f t="shared" si="2"/>
        <v>3768960</v>
      </c>
      <c r="F27" s="96">
        <f t="shared" si="2"/>
        <v>1884480</v>
      </c>
      <c r="G27" s="96">
        <f t="shared" si="2"/>
        <v>0</v>
      </c>
    </row>
    <row r="28" spans="1:9" ht="15.75" x14ac:dyDescent="0.25">
      <c r="A28" s="37" t="s">
        <v>186</v>
      </c>
      <c r="B28" s="214">
        <f>B14+B24+B27</f>
        <v>25299022</v>
      </c>
      <c r="C28" s="214">
        <f t="shared" ref="C28:G28" si="3">C14+C24+C27</f>
        <v>59977986.742901877</v>
      </c>
      <c r="D28" s="214">
        <f t="shared" si="3"/>
        <v>77319101.985838518</v>
      </c>
      <c r="E28" s="214">
        <f t="shared" si="3"/>
        <v>105233149.25428946</v>
      </c>
      <c r="F28" s="214">
        <f t="shared" si="3"/>
        <v>144593442.73811969</v>
      </c>
      <c r="G28" s="214">
        <f t="shared" si="3"/>
        <v>191282991.23296693</v>
      </c>
      <c r="H28" s="241"/>
      <c r="I28" s="241"/>
    </row>
    <row r="29" spans="1:9" x14ac:dyDescent="0.2">
      <c r="A29" s="23" t="s">
        <v>187</v>
      </c>
      <c r="B29" s="5"/>
      <c r="C29" s="5"/>
      <c r="D29" s="5"/>
      <c r="E29" s="5"/>
      <c r="F29" s="5"/>
      <c r="G29" s="5"/>
    </row>
    <row r="30" spans="1:9" x14ac:dyDescent="0.2">
      <c r="A30" s="23" t="s">
        <v>188</v>
      </c>
      <c r="B30" s="5"/>
      <c r="C30" s="5"/>
      <c r="D30" s="5"/>
      <c r="E30" s="5"/>
      <c r="F30" s="5"/>
      <c r="G30" s="5"/>
    </row>
    <row r="31" spans="1:9" x14ac:dyDescent="0.2">
      <c r="A31" s="23" t="s">
        <v>189</v>
      </c>
      <c r="B31" s="5"/>
      <c r="C31" s="5">
        <f>Hoja3!D144</f>
        <v>8724949.1300000008</v>
      </c>
      <c r="D31" s="5">
        <f>Hoja3!E144</f>
        <v>9602788</v>
      </c>
      <c r="E31" s="5">
        <f>Hoja3!F144</f>
        <v>10510166.49</v>
      </c>
      <c r="F31" s="5">
        <f>Hoja3!G144</f>
        <v>11441336.699999999</v>
      </c>
      <c r="G31" s="5">
        <f>Hoja3!H144</f>
        <v>12401000.66</v>
      </c>
    </row>
    <row r="32" spans="1:9" x14ac:dyDescent="0.2">
      <c r="A32" s="23" t="s">
        <v>190</v>
      </c>
      <c r="B32" s="5">
        <f>Hoja1!B138</f>
        <v>5000000</v>
      </c>
      <c r="C32" s="5">
        <f>B32-Hoja1!C136</f>
        <v>4341173.3537336281</v>
      </c>
      <c r="D32" s="5">
        <f>C32-Hoja1!D136</f>
        <v>3543993.111751318</v>
      </c>
      <c r="E32" s="5">
        <f>D32-Hoja1!E136</f>
        <v>2579405.0189527231</v>
      </c>
      <c r="F32" s="5">
        <f>E32-Hoja1!F136</f>
        <v>1412253.4266664232</v>
      </c>
      <c r="G32" s="5">
        <f>F32-Hoja1!G136</f>
        <v>0</v>
      </c>
      <c r="H32" s="277"/>
      <c r="I32" s="277"/>
    </row>
    <row r="33" spans="1:9" ht="15.75" x14ac:dyDescent="0.25">
      <c r="A33" s="40" t="s">
        <v>191</v>
      </c>
      <c r="B33" s="284">
        <f>B31+B32</f>
        <v>5000000</v>
      </c>
      <c r="C33" s="284">
        <f t="shared" ref="C33:G33" si="4">C31+C32</f>
        <v>13066122.483733628</v>
      </c>
      <c r="D33" s="284">
        <f t="shared" si="4"/>
        <v>13146781.111751318</v>
      </c>
      <c r="E33" s="284">
        <f t="shared" si="4"/>
        <v>13089571.508952724</v>
      </c>
      <c r="F33" s="284">
        <f t="shared" si="4"/>
        <v>12853590.126666423</v>
      </c>
      <c r="G33" s="284">
        <f t="shared" si="4"/>
        <v>12401000.66</v>
      </c>
      <c r="H33" s="281"/>
      <c r="I33" s="281"/>
    </row>
    <row r="34" spans="1:9" x14ac:dyDescent="0.2">
      <c r="A34" s="23" t="s">
        <v>192</v>
      </c>
      <c r="B34" s="5"/>
      <c r="C34" s="5"/>
      <c r="D34" s="5"/>
      <c r="E34" s="5"/>
      <c r="F34" s="5"/>
      <c r="G34" s="5"/>
    </row>
    <row r="35" spans="1:9" x14ac:dyDescent="0.2">
      <c r="A35" s="23" t="s">
        <v>193</v>
      </c>
      <c r="B35" s="5">
        <f>Hoja5!B25</f>
        <v>20299022</v>
      </c>
      <c r="C35" s="5">
        <f>Hoja5!C25</f>
        <v>41317411.002214663</v>
      </c>
      <c r="D35" s="5">
        <f>Hoja5!D25</f>
        <v>42142322.64566467</v>
      </c>
      <c r="E35" s="5">
        <f>Hoja5!E25</f>
        <v>43266198.078714669</v>
      </c>
      <c r="F35" s="5">
        <f>Hoja5!F25</f>
        <v>44463862.335664675</v>
      </c>
      <c r="G35" s="5">
        <f>Hoja5!G25</f>
        <v>45670074.087664671</v>
      </c>
      <c r="H35" s="33"/>
      <c r="I35" s="33"/>
    </row>
    <row r="36" spans="1:9" x14ac:dyDescent="0.2">
      <c r="A36" s="23" t="s">
        <v>194</v>
      </c>
      <c r="B36" s="5"/>
      <c r="C36" s="5">
        <f>Hoja6!C38</f>
        <v>5594453.2569535915</v>
      </c>
      <c r="D36" s="5">
        <f>Hoja6!D38</f>
        <v>22029998.228422541</v>
      </c>
      <c r="E36" s="5">
        <f>Hoja6!E38</f>
        <v>48877379.666622087</v>
      </c>
      <c r="F36" s="5">
        <f>Hoja6!F38</f>
        <v>87275990.275788635</v>
      </c>
      <c r="G36" s="5">
        <f>Hoja6!G38</f>
        <v>133211916.48530225</v>
      </c>
      <c r="H36" s="36"/>
      <c r="I36" s="36"/>
    </row>
    <row r="37" spans="1:9" ht="15.75" x14ac:dyDescent="0.25">
      <c r="A37" s="40" t="s">
        <v>195</v>
      </c>
      <c r="B37" s="283">
        <f>B35+B36</f>
        <v>20299022</v>
      </c>
      <c r="C37" s="283">
        <f t="shared" ref="C37:G37" si="5">C35+C36</f>
        <v>46911864.259168252</v>
      </c>
      <c r="D37" s="283">
        <f t="shared" si="5"/>
        <v>64172320.874087214</v>
      </c>
      <c r="E37" s="283">
        <f t="shared" si="5"/>
        <v>92143577.745336756</v>
      </c>
      <c r="F37" s="283">
        <f t="shared" si="5"/>
        <v>131739852.61145331</v>
      </c>
      <c r="G37" s="283">
        <f t="shared" si="5"/>
        <v>178881990.57296693</v>
      </c>
      <c r="H37" s="280"/>
      <c r="I37" s="280"/>
    </row>
    <row r="38" spans="1:9" ht="15.75" x14ac:dyDescent="0.25">
      <c r="A38" s="37" t="s">
        <v>196</v>
      </c>
      <c r="B38" s="214">
        <f>B33+B37</f>
        <v>25299022</v>
      </c>
      <c r="C38" s="214">
        <f t="shared" ref="C38:G38" si="6">C33+C37</f>
        <v>59977986.742901877</v>
      </c>
      <c r="D38" s="214">
        <f t="shared" si="6"/>
        <v>77319101.985838532</v>
      </c>
      <c r="E38" s="214">
        <f t="shared" si="6"/>
        <v>105233149.25428948</v>
      </c>
      <c r="F38" s="214">
        <f t="shared" si="6"/>
        <v>144593442.73811972</v>
      </c>
      <c r="G38" s="214">
        <f t="shared" si="6"/>
        <v>191282991.23296693</v>
      </c>
      <c r="H38" s="241"/>
      <c r="I38" s="241"/>
    </row>
    <row r="39" spans="1:9" ht="15.75" x14ac:dyDescent="0.25">
      <c r="A39" s="338" t="s">
        <v>334</v>
      </c>
      <c r="B39" s="339"/>
      <c r="C39" s="339">
        <f>C31</f>
        <v>8724949.1300000008</v>
      </c>
      <c r="D39" s="339">
        <f>D31-C31</f>
        <v>877838.86999999918</v>
      </c>
      <c r="E39" s="339">
        <f t="shared" ref="E39:G39" si="7">E31-D31</f>
        <v>907378.49000000022</v>
      </c>
      <c r="F39" s="339">
        <f t="shared" si="7"/>
        <v>931170.20999999903</v>
      </c>
      <c r="G39" s="339">
        <f t="shared" si="7"/>
        <v>959663.96000000089</v>
      </c>
      <c r="H39" s="282"/>
      <c r="I39" s="282"/>
    </row>
    <row r="40" spans="1:9" x14ac:dyDescent="0.2">
      <c r="A40" s="27"/>
      <c r="B40" s="5"/>
      <c r="C40" s="5"/>
      <c r="D40" s="5"/>
      <c r="E40" s="5"/>
      <c r="F40" s="5"/>
      <c r="G40" s="5"/>
    </row>
    <row r="41" spans="1:9" x14ac:dyDescent="0.2">
      <c r="A41" s="27"/>
      <c r="B41" s="5"/>
      <c r="C41" s="5"/>
      <c r="D41" s="5"/>
      <c r="E41" s="5"/>
      <c r="F41" s="5"/>
      <c r="G41" s="5"/>
    </row>
    <row r="42" spans="1:9" x14ac:dyDescent="0.2">
      <c r="A42" s="27"/>
    </row>
    <row r="43" spans="1:9" x14ac:dyDescent="0.2">
      <c r="A43" s="27"/>
    </row>
    <row r="44" spans="1:9" x14ac:dyDescent="0.2">
      <c r="A44" s="27"/>
    </row>
  </sheetData>
  <mergeCells count="3">
    <mergeCell ref="C3:G3"/>
    <mergeCell ref="A1:G1"/>
    <mergeCell ref="A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K47"/>
  <sheetViews>
    <sheetView topLeftCell="A34" zoomScale="62" zoomScaleNormal="62" workbookViewId="0">
      <selection activeCell="K52" sqref="K52"/>
    </sheetView>
  </sheetViews>
  <sheetFormatPr baseColWidth="10" defaultColWidth="8.88671875" defaultRowHeight="18" x14ac:dyDescent="0.2"/>
  <cols>
    <col min="1" max="1" width="27.5546875" customWidth="1"/>
    <col min="2" max="2" width="20.6640625" style="43" customWidth="1"/>
    <col min="3" max="3" width="37.6640625" style="17" customWidth="1"/>
    <col min="4" max="4" width="8.33203125" style="44" customWidth="1"/>
    <col min="5" max="5" width="8.5546875" style="44" customWidth="1"/>
    <col min="6" max="6" width="8.109375" style="44" customWidth="1"/>
    <col min="7" max="7" width="9.21875" style="44" bestFit="1" customWidth="1"/>
    <col min="8" max="8" width="9.77734375" style="44" customWidth="1"/>
    <col min="9" max="9" width="10.6640625" style="44" customWidth="1"/>
    <col min="10" max="10" width="73.77734375" customWidth="1"/>
    <col min="258" max="258" width="27.5546875" customWidth="1"/>
    <col min="259" max="259" width="20.6640625" customWidth="1"/>
    <col min="260" max="260" width="37.6640625" customWidth="1"/>
    <col min="261" max="261" width="8.33203125" customWidth="1"/>
    <col min="262" max="262" width="8.5546875" customWidth="1"/>
    <col min="263" max="263" width="8.109375" customWidth="1"/>
    <col min="264" max="264" width="8.44140625" customWidth="1"/>
    <col min="265" max="265" width="9.77734375" customWidth="1"/>
    <col min="266" max="266" width="50.21875" customWidth="1"/>
    <col min="514" max="514" width="27.5546875" customWidth="1"/>
    <col min="515" max="515" width="20.6640625" customWidth="1"/>
    <col min="516" max="516" width="37.6640625" customWidth="1"/>
    <col min="517" max="517" width="8.33203125" customWidth="1"/>
    <col min="518" max="518" width="8.5546875" customWidth="1"/>
    <col min="519" max="519" width="8.109375" customWidth="1"/>
    <col min="520" max="520" width="8.44140625" customWidth="1"/>
    <col min="521" max="521" width="9.77734375" customWidth="1"/>
    <col min="522" max="522" width="50.21875" customWidth="1"/>
    <col min="770" max="770" width="27.5546875" customWidth="1"/>
    <col min="771" max="771" width="20.6640625" customWidth="1"/>
    <col min="772" max="772" width="37.6640625" customWidth="1"/>
    <col min="773" max="773" width="8.33203125" customWidth="1"/>
    <col min="774" max="774" width="8.5546875" customWidth="1"/>
    <col min="775" max="775" width="8.109375" customWidth="1"/>
    <col min="776" max="776" width="8.44140625" customWidth="1"/>
    <col min="777" max="777" width="9.77734375" customWidth="1"/>
    <col min="778" max="778" width="50.21875" customWidth="1"/>
    <col min="1026" max="1026" width="27.5546875" customWidth="1"/>
    <col min="1027" max="1027" width="20.6640625" customWidth="1"/>
    <col min="1028" max="1028" width="37.6640625" customWidth="1"/>
    <col min="1029" max="1029" width="8.33203125" customWidth="1"/>
    <col min="1030" max="1030" width="8.5546875" customWidth="1"/>
    <col min="1031" max="1031" width="8.109375" customWidth="1"/>
    <col min="1032" max="1032" width="8.44140625" customWidth="1"/>
    <col min="1033" max="1033" width="9.77734375" customWidth="1"/>
    <col min="1034" max="1034" width="50.21875" customWidth="1"/>
    <col min="1282" max="1282" width="27.5546875" customWidth="1"/>
    <col min="1283" max="1283" width="20.6640625" customWidth="1"/>
    <col min="1284" max="1284" width="37.6640625" customWidth="1"/>
    <col min="1285" max="1285" width="8.33203125" customWidth="1"/>
    <col min="1286" max="1286" width="8.5546875" customWidth="1"/>
    <col min="1287" max="1287" width="8.109375" customWidth="1"/>
    <col min="1288" max="1288" width="8.44140625" customWidth="1"/>
    <col min="1289" max="1289" width="9.77734375" customWidth="1"/>
    <col min="1290" max="1290" width="50.21875" customWidth="1"/>
    <col min="1538" max="1538" width="27.5546875" customWidth="1"/>
    <col min="1539" max="1539" width="20.6640625" customWidth="1"/>
    <col min="1540" max="1540" width="37.6640625" customWidth="1"/>
    <col min="1541" max="1541" width="8.33203125" customWidth="1"/>
    <col min="1542" max="1542" width="8.5546875" customWidth="1"/>
    <col min="1543" max="1543" width="8.109375" customWidth="1"/>
    <col min="1544" max="1544" width="8.44140625" customWidth="1"/>
    <col min="1545" max="1545" width="9.77734375" customWidth="1"/>
    <col min="1546" max="1546" width="50.21875" customWidth="1"/>
    <col min="1794" max="1794" width="27.5546875" customWidth="1"/>
    <col min="1795" max="1795" width="20.6640625" customWidth="1"/>
    <col min="1796" max="1796" width="37.6640625" customWidth="1"/>
    <col min="1797" max="1797" width="8.33203125" customWidth="1"/>
    <col min="1798" max="1798" width="8.5546875" customWidth="1"/>
    <col min="1799" max="1799" width="8.109375" customWidth="1"/>
    <col min="1800" max="1800" width="8.44140625" customWidth="1"/>
    <col min="1801" max="1801" width="9.77734375" customWidth="1"/>
    <col min="1802" max="1802" width="50.21875" customWidth="1"/>
    <col min="2050" max="2050" width="27.5546875" customWidth="1"/>
    <col min="2051" max="2051" width="20.6640625" customWidth="1"/>
    <col min="2052" max="2052" width="37.6640625" customWidth="1"/>
    <col min="2053" max="2053" width="8.33203125" customWidth="1"/>
    <col min="2054" max="2054" width="8.5546875" customWidth="1"/>
    <col min="2055" max="2055" width="8.109375" customWidth="1"/>
    <col min="2056" max="2056" width="8.44140625" customWidth="1"/>
    <col min="2057" max="2057" width="9.77734375" customWidth="1"/>
    <col min="2058" max="2058" width="50.21875" customWidth="1"/>
    <col min="2306" max="2306" width="27.5546875" customWidth="1"/>
    <col min="2307" max="2307" width="20.6640625" customWidth="1"/>
    <col min="2308" max="2308" width="37.6640625" customWidth="1"/>
    <col min="2309" max="2309" width="8.33203125" customWidth="1"/>
    <col min="2310" max="2310" width="8.5546875" customWidth="1"/>
    <col min="2311" max="2311" width="8.109375" customWidth="1"/>
    <col min="2312" max="2312" width="8.44140625" customWidth="1"/>
    <col min="2313" max="2313" width="9.77734375" customWidth="1"/>
    <col min="2314" max="2314" width="50.21875" customWidth="1"/>
    <col min="2562" max="2562" width="27.5546875" customWidth="1"/>
    <col min="2563" max="2563" width="20.6640625" customWidth="1"/>
    <col min="2564" max="2564" width="37.6640625" customWidth="1"/>
    <col min="2565" max="2565" width="8.33203125" customWidth="1"/>
    <col min="2566" max="2566" width="8.5546875" customWidth="1"/>
    <col min="2567" max="2567" width="8.109375" customWidth="1"/>
    <col min="2568" max="2568" width="8.44140625" customWidth="1"/>
    <col min="2569" max="2569" width="9.77734375" customWidth="1"/>
    <col min="2570" max="2570" width="50.21875" customWidth="1"/>
    <col min="2818" max="2818" width="27.5546875" customWidth="1"/>
    <col min="2819" max="2819" width="20.6640625" customWidth="1"/>
    <col min="2820" max="2820" width="37.6640625" customWidth="1"/>
    <col min="2821" max="2821" width="8.33203125" customWidth="1"/>
    <col min="2822" max="2822" width="8.5546875" customWidth="1"/>
    <col min="2823" max="2823" width="8.109375" customWidth="1"/>
    <col min="2824" max="2824" width="8.44140625" customWidth="1"/>
    <col min="2825" max="2825" width="9.77734375" customWidth="1"/>
    <col min="2826" max="2826" width="50.21875" customWidth="1"/>
    <col min="3074" max="3074" width="27.5546875" customWidth="1"/>
    <col min="3075" max="3075" width="20.6640625" customWidth="1"/>
    <col min="3076" max="3076" width="37.6640625" customWidth="1"/>
    <col min="3077" max="3077" width="8.33203125" customWidth="1"/>
    <col min="3078" max="3078" width="8.5546875" customWidth="1"/>
    <col min="3079" max="3079" width="8.109375" customWidth="1"/>
    <col min="3080" max="3080" width="8.44140625" customWidth="1"/>
    <col min="3081" max="3081" width="9.77734375" customWidth="1"/>
    <col min="3082" max="3082" width="50.21875" customWidth="1"/>
    <col min="3330" max="3330" width="27.5546875" customWidth="1"/>
    <col min="3331" max="3331" width="20.6640625" customWidth="1"/>
    <col min="3332" max="3332" width="37.6640625" customWidth="1"/>
    <col min="3333" max="3333" width="8.33203125" customWidth="1"/>
    <col min="3334" max="3334" width="8.5546875" customWidth="1"/>
    <col min="3335" max="3335" width="8.109375" customWidth="1"/>
    <col min="3336" max="3336" width="8.44140625" customWidth="1"/>
    <col min="3337" max="3337" width="9.77734375" customWidth="1"/>
    <col min="3338" max="3338" width="50.21875" customWidth="1"/>
    <col min="3586" max="3586" width="27.5546875" customWidth="1"/>
    <col min="3587" max="3587" width="20.6640625" customWidth="1"/>
    <col min="3588" max="3588" width="37.6640625" customWidth="1"/>
    <col min="3589" max="3589" width="8.33203125" customWidth="1"/>
    <col min="3590" max="3590" width="8.5546875" customWidth="1"/>
    <col min="3591" max="3591" width="8.109375" customWidth="1"/>
    <col min="3592" max="3592" width="8.44140625" customWidth="1"/>
    <col min="3593" max="3593" width="9.77734375" customWidth="1"/>
    <col min="3594" max="3594" width="50.21875" customWidth="1"/>
    <col min="3842" max="3842" width="27.5546875" customWidth="1"/>
    <col min="3843" max="3843" width="20.6640625" customWidth="1"/>
    <col min="3844" max="3844" width="37.6640625" customWidth="1"/>
    <col min="3845" max="3845" width="8.33203125" customWidth="1"/>
    <col min="3846" max="3846" width="8.5546875" customWidth="1"/>
    <col min="3847" max="3847" width="8.109375" customWidth="1"/>
    <col min="3848" max="3848" width="8.44140625" customWidth="1"/>
    <col min="3849" max="3849" width="9.77734375" customWidth="1"/>
    <col min="3850" max="3850" width="50.21875" customWidth="1"/>
    <col min="4098" max="4098" width="27.5546875" customWidth="1"/>
    <col min="4099" max="4099" width="20.6640625" customWidth="1"/>
    <col min="4100" max="4100" width="37.6640625" customWidth="1"/>
    <col min="4101" max="4101" width="8.33203125" customWidth="1"/>
    <col min="4102" max="4102" width="8.5546875" customWidth="1"/>
    <col min="4103" max="4103" width="8.109375" customWidth="1"/>
    <col min="4104" max="4104" width="8.44140625" customWidth="1"/>
    <col min="4105" max="4105" width="9.77734375" customWidth="1"/>
    <col min="4106" max="4106" width="50.21875" customWidth="1"/>
    <col min="4354" max="4354" width="27.5546875" customWidth="1"/>
    <col min="4355" max="4355" width="20.6640625" customWidth="1"/>
    <col min="4356" max="4356" width="37.6640625" customWidth="1"/>
    <col min="4357" max="4357" width="8.33203125" customWidth="1"/>
    <col min="4358" max="4358" width="8.5546875" customWidth="1"/>
    <col min="4359" max="4359" width="8.109375" customWidth="1"/>
    <col min="4360" max="4360" width="8.44140625" customWidth="1"/>
    <col min="4361" max="4361" width="9.77734375" customWidth="1"/>
    <col min="4362" max="4362" width="50.21875" customWidth="1"/>
    <col min="4610" max="4610" width="27.5546875" customWidth="1"/>
    <col min="4611" max="4611" width="20.6640625" customWidth="1"/>
    <col min="4612" max="4612" width="37.6640625" customWidth="1"/>
    <col min="4613" max="4613" width="8.33203125" customWidth="1"/>
    <col min="4614" max="4614" width="8.5546875" customWidth="1"/>
    <col min="4615" max="4615" width="8.109375" customWidth="1"/>
    <col min="4616" max="4616" width="8.44140625" customWidth="1"/>
    <col min="4617" max="4617" width="9.77734375" customWidth="1"/>
    <col min="4618" max="4618" width="50.21875" customWidth="1"/>
    <col min="4866" max="4866" width="27.5546875" customWidth="1"/>
    <col min="4867" max="4867" width="20.6640625" customWidth="1"/>
    <col min="4868" max="4868" width="37.6640625" customWidth="1"/>
    <col min="4869" max="4869" width="8.33203125" customWidth="1"/>
    <col min="4870" max="4870" width="8.5546875" customWidth="1"/>
    <col min="4871" max="4871" width="8.109375" customWidth="1"/>
    <col min="4872" max="4872" width="8.44140625" customWidth="1"/>
    <col min="4873" max="4873" width="9.77734375" customWidth="1"/>
    <col min="4874" max="4874" width="50.21875" customWidth="1"/>
    <col min="5122" max="5122" width="27.5546875" customWidth="1"/>
    <col min="5123" max="5123" width="20.6640625" customWidth="1"/>
    <col min="5124" max="5124" width="37.6640625" customWidth="1"/>
    <col min="5125" max="5125" width="8.33203125" customWidth="1"/>
    <col min="5126" max="5126" width="8.5546875" customWidth="1"/>
    <col min="5127" max="5127" width="8.109375" customWidth="1"/>
    <col min="5128" max="5128" width="8.44140625" customWidth="1"/>
    <col min="5129" max="5129" width="9.77734375" customWidth="1"/>
    <col min="5130" max="5130" width="50.21875" customWidth="1"/>
    <col min="5378" max="5378" width="27.5546875" customWidth="1"/>
    <col min="5379" max="5379" width="20.6640625" customWidth="1"/>
    <col min="5380" max="5380" width="37.6640625" customWidth="1"/>
    <col min="5381" max="5381" width="8.33203125" customWidth="1"/>
    <col min="5382" max="5382" width="8.5546875" customWidth="1"/>
    <col min="5383" max="5383" width="8.109375" customWidth="1"/>
    <col min="5384" max="5384" width="8.44140625" customWidth="1"/>
    <col min="5385" max="5385" width="9.77734375" customWidth="1"/>
    <col min="5386" max="5386" width="50.21875" customWidth="1"/>
    <col min="5634" max="5634" width="27.5546875" customWidth="1"/>
    <col min="5635" max="5635" width="20.6640625" customWidth="1"/>
    <col min="5636" max="5636" width="37.6640625" customWidth="1"/>
    <col min="5637" max="5637" width="8.33203125" customWidth="1"/>
    <col min="5638" max="5638" width="8.5546875" customWidth="1"/>
    <col min="5639" max="5639" width="8.109375" customWidth="1"/>
    <col min="5640" max="5640" width="8.44140625" customWidth="1"/>
    <col min="5641" max="5641" width="9.77734375" customWidth="1"/>
    <col min="5642" max="5642" width="50.21875" customWidth="1"/>
    <col min="5890" max="5890" width="27.5546875" customWidth="1"/>
    <col min="5891" max="5891" width="20.6640625" customWidth="1"/>
    <col min="5892" max="5892" width="37.6640625" customWidth="1"/>
    <col min="5893" max="5893" width="8.33203125" customWidth="1"/>
    <col min="5894" max="5894" width="8.5546875" customWidth="1"/>
    <col min="5895" max="5895" width="8.109375" customWidth="1"/>
    <col min="5896" max="5896" width="8.44140625" customWidth="1"/>
    <col min="5897" max="5897" width="9.77734375" customWidth="1"/>
    <col min="5898" max="5898" width="50.21875" customWidth="1"/>
    <col min="6146" max="6146" width="27.5546875" customWidth="1"/>
    <col min="6147" max="6147" width="20.6640625" customWidth="1"/>
    <col min="6148" max="6148" width="37.6640625" customWidth="1"/>
    <col min="6149" max="6149" width="8.33203125" customWidth="1"/>
    <col min="6150" max="6150" width="8.5546875" customWidth="1"/>
    <col min="6151" max="6151" width="8.109375" customWidth="1"/>
    <col min="6152" max="6152" width="8.44140625" customWidth="1"/>
    <col min="6153" max="6153" width="9.77734375" customWidth="1"/>
    <col min="6154" max="6154" width="50.21875" customWidth="1"/>
    <col min="6402" max="6402" width="27.5546875" customWidth="1"/>
    <col min="6403" max="6403" width="20.6640625" customWidth="1"/>
    <col min="6404" max="6404" width="37.6640625" customWidth="1"/>
    <col min="6405" max="6405" width="8.33203125" customWidth="1"/>
    <col min="6406" max="6406" width="8.5546875" customWidth="1"/>
    <col min="6407" max="6407" width="8.109375" customWidth="1"/>
    <col min="6408" max="6408" width="8.44140625" customWidth="1"/>
    <col min="6409" max="6409" width="9.77734375" customWidth="1"/>
    <col min="6410" max="6410" width="50.21875" customWidth="1"/>
    <col min="6658" max="6658" width="27.5546875" customWidth="1"/>
    <col min="6659" max="6659" width="20.6640625" customWidth="1"/>
    <col min="6660" max="6660" width="37.6640625" customWidth="1"/>
    <col min="6661" max="6661" width="8.33203125" customWidth="1"/>
    <col min="6662" max="6662" width="8.5546875" customWidth="1"/>
    <col min="6663" max="6663" width="8.109375" customWidth="1"/>
    <col min="6664" max="6664" width="8.44140625" customWidth="1"/>
    <col min="6665" max="6665" width="9.77734375" customWidth="1"/>
    <col min="6666" max="6666" width="50.21875" customWidth="1"/>
    <col min="6914" max="6914" width="27.5546875" customWidth="1"/>
    <col min="6915" max="6915" width="20.6640625" customWidth="1"/>
    <col min="6916" max="6916" width="37.6640625" customWidth="1"/>
    <col min="6917" max="6917" width="8.33203125" customWidth="1"/>
    <col min="6918" max="6918" width="8.5546875" customWidth="1"/>
    <col min="6919" max="6919" width="8.109375" customWidth="1"/>
    <col min="6920" max="6920" width="8.44140625" customWidth="1"/>
    <col min="6921" max="6921" width="9.77734375" customWidth="1"/>
    <col min="6922" max="6922" width="50.21875" customWidth="1"/>
    <col min="7170" max="7170" width="27.5546875" customWidth="1"/>
    <col min="7171" max="7171" width="20.6640625" customWidth="1"/>
    <col min="7172" max="7172" width="37.6640625" customWidth="1"/>
    <col min="7173" max="7173" width="8.33203125" customWidth="1"/>
    <col min="7174" max="7174" width="8.5546875" customWidth="1"/>
    <col min="7175" max="7175" width="8.109375" customWidth="1"/>
    <col min="7176" max="7176" width="8.44140625" customWidth="1"/>
    <col min="7177" max="7177" width="9.77734375" customWidth="1"/>
    <col min="7178" max="7178" width="50.21875" customWidth="1"/>
    <col min="7426" max="7426" width="27.5546875" customWidth="1"/>
    <col min="7427" max="7427" width="20.6640625" customWidth="1"/>
    <col min="7428" max="7428" width="37.6640625" customWidth="1"/>
    <col min="7429" max="7429" width="8.33203125" customWidth="1"/>
    <col min="7430" max="7430" width="8.5546875" customWidth="1"/>
    <col min="7431" max="7431" width="8.109375" customWidth="1"/>
    <col min="7432" max="7432" width="8.44140625" customWidth="1"/>
    <col min="7433" max="7433" width="9.77734375" customWidth="1"/>
    <col min="7434" max="7434" width="50.21875" customWidth="1"/>
    <col min="7682" max="7682" width="27.5546875" customWidth="1"/>
    <col min="7683" max="7683" width="20.6640625" customWidth="1"/>
    <col min="7684" max="7684" width="37.6640625" customWidth="1"/>
    <col min="7685" max="7685" width="8.33203125" customWidth="1"/>
    <col min="7686" max="7686" width="8.5546875" customWidth="1"/>
    <col min="7687" max="7687" width="8.109375" customWidth="1"/>
    <col min="7688" max="7688" width="8.44140625" customWidth="1"/>
    <col min="7689" max="7689" width="9.77734375" customWidth="1"/>
    <col min="7690" max="7690" width="50.21875" customWidth="1"/>
    <col min="7938" max="7938" width="27.5546875" customWidth="1"/>
    <col min="7939" max="7939" width="20.6640625" customWidth="1"/>
    <col min="7940" max="7940" width="37.6640625" customWidth="1"/>
    <col min="7941" max="7941" width="8.33203125" customWidth="1"/>
    <col min="7942" max="7942" width="8.5546875" customWidth="1"/>
    <col min="7943" max="7943" width="8.109375" customWidth="1"/>
    <col min="7944" max="7944" width="8.44140625" customWidth="1"/>
    <col min="7945" max="7945" width="9.77734375" customWidth="1"/>
    <col min="7946" max="7946" width="50.21875" customWidth="1"/>
    <col min="8194" max="8194" width="27.5546875" customWidth="1"/>
    <col min="8195" max="8195" width="20.6640625" customWidth="1"/>
    <col min="8196" max="8196" width="37.6640625" customWidth="1"/>
    <col min="8197" max="8197" width="8.33203125" customWidth="1"/>
    <col min="8198" max="8198" width="8.5546875" customWidth="1"/>
    <col min="8199" max="8199" width="8.109375" customWidth="1"/>
    <col min="8200" max="8200" width="8.44140625" customWidth="1"/>
    <col min="8201" max="8201" width="9.77734375" customWidth="1"/>
    <col min="8202" max="8202" width="50.21875" customWidth="1"/>
    <col min="8450" max="8450" width="27.5546875" customWidth="1"/>
    <col min="8451" max="8451" width="20.6640625" customWidth="1"/>
    <col min="8452" max="8452" width="37.6640625" customWidth="1"/>
    <col min="8453" max="8453" width="8.33203125" customWidth="1"/>
    <col min="8454" max="8454" width="8.5546875" customWidth="1"/>
    <col min="8455" max="8455" width="8.109375" customWidth="1"/>
    <col min="8456" max="8456" width="8.44140625" customWidth="1"/>
    <col min="8457" max="8457" width="9.77734375" customWidth="1"/>
    <col min="8458" max="8458" width="50.21875" customWidth="1"/>
    <col min="8706" max="8706" width="27.5546875" customWidth="1"/>
    <col min="8707" max="8707" width="20.6640625" customWidth="1"/>
    <col min="8708" max="8708" width="37.6640625" customWidth="1"/>
    <col min="8709" max="8709" width="8.33203125" customWidth="1"/>
    <col min="8710" max="8710" width="8.5546875" customWidth="1"/>
    <col min="8711" max="8711" width="8.109375" customWidth="1"/>
    <col min="8712" max="8712" width="8.44140625" customWidth="1"/>
    <col min="8713" max="8713" width="9.77734375" customWidth="1"/>
    <col min="8714" max="8714" width="50.21875" customWidth="1"/>
    <col min="8962" max="8962" width="27.5546875" customWidth="1"/>
    <col min="8963" max="8963" width="20.6640625" customWidth="1"/>
    <col min="8964" max="8964" width="37.6640625" customWidth="1"/>
    <col min="8965" max="8965" width="8.33203125" customWidth="1"/>
    <col min="8966" max="8966" width="8.5546875" customWidth="1"/>
    <col min="8967" max="8967" width="8.109375" customWidth="1"/>
    <col min="8968" max="8968" width="8.44140625" customWidth="1"/>
    <col min="8969" max="8969" width="9.77734375" customWidth="1"/>
    <col min="8970" max="8970" width="50.21875" customWidth="1"/>
    <col min="9218" max="9218" width="27.5546875" customWidth="1"/>
    <col min="9219" max="9219" width="20.6640625" customWidth="1"/>
    <col min="9220" max="9220" width="37.6640625" customWidth="1"/>
    <col min="9221" max="9221" width="8.33203125" customWidth="1"/>
    <col min="9222" max="9222" width="8.5546875" customWidth="1"/>
    <col min="9223" max="9223" width="8.109375" customWidth="1"/>
    <col min="9224" max="9224" width="8.44140625" customWidth="1"/>
    <col min="9225" max="9225" width="9.77734375" customWidth="1"/>
    <col min="9226" max="9226" width="50.21875" customWidth="1"/>
    <col min="9474" max="9474" width="27.5546875" customWidth="1"/>
    <col min="9475" max="9475" width="20.6640625" customWidth="1"/>
    <col min="9476" max="9476" width="37.6640625" customWidth="1"/>
    <col min="9477" max="9477" width="8.33203125" customWidth="1"/>
    <col min="9478" max="9478" width="8.5546875" customWidth="1"/>
    <col min="9479" max="9479" width="8.109375" customWidth="1"/>
    <col min="9480" max="9480" width="8.44140625" customWidth="1"/>
    <col min="9481" max="9481" width="9.77734375" customWidth="1"/>
    <col min="9482" max="9482" width="50.21875" customWidth="1"/>
    <col min="9730" max="9730" width="27.5546875" customWidth="1"/>
    <col min="9731" max="9731" width="20.6640625" customWidth="1"/>
    <col min="9732" max="9732" width="37.6640625" customWidth="1"/>
    <col min="9733" max="9733" width="8.33203125" customWidth="1"/>
    <col min="9734" max="9734" width="8.5546875" customWidth="1"/>
    <col min="9735" max="9735" width="8.109375" customWidth="1"/>
    <col min="9736" max="9736" width="8.44140625" customWidth="1"/>
    <col min="9737" max="9737" width="9.77734375" customWidth="1"/>
    <col min="9738" max="9738" width="50.21875" customWidth="1"/>
    <col min="9986" max="9986" width="27.5546875" customWidth="1"/>
    <col min="9987" max="9987" width="20.6640625" customWidth="1"/>
    <col min="9988" max="9988" width="37.6640625" customWidth="1"/>
    <col min="9989" max="9989" width="8.33203125" customWidth="1"/>
    <col min="9990" max="9990" width="8.5546875" customWidth="1"/>
    <col min="9991" max="9991" width="8.109375" customWidth="1"/>
    <col min="9992" max="9992" width="8.44140625" customWidth="1"/>
    <col min="9993" max="9993" width="9.77734375" customWidth="1"/>
    <col min="9994" max="9994" width="50.21875" customWidth="1"/>
    <col min="10242" max="10242" width="27.5546875" customWidth="1"/>
    <col min="10243" max="10243" width="20.6640625" customWidth="1"/>
    <col min="10244" max="10244" width="37.6640625" customWidth="1"/>
    <col min="10245" max="10245" width="8.33203125" customWidth="1"/>
    <col min="10246" max="10246" width="8.5546875" customWidth="1"/>
    <col min="10247" max="10247" width="8.109375" customWidth="1"/>
    <col min="10248" max="10248" width="8.44140625" customWidth="1"/>
    <col min="10249" max="10249" width="9.77734375" customWidth="1"/>
    <col min="10250" max="10250" width="50.21875" customWidth="1"/>
    <col min="10498" max="10498" width="27.5546875" customWidth="1"/>
    <col min="10499" max="10499" width="20.6640625" customWidth="1"/>
    <col min="10500" max="10500" width="37.6640625" customWidth="1"/>
    <col min="10501" max="10501" width="8.33203125" customWidth="1"/>
    <col min="10502" max="10502" width="8.5546875" customWidth="1"/>
    <col min="10503" max="10503" width="8.109375" customWidth="1"/>
    <col min="10504" max="10504" width="8.44140625" customWidth="1"/>
    <col min="10505" max="10505" width="9.77734375" customWidth="1"/>
    <col min="10506" max="10506" width="50.21875" customWidth="1"/>
    <col min="10754" max="10754" width="27.5546875" customWidth="1"/>
    <col min="10755" max="10755" width="20.6640625" customWidth="1"/>
    <col min="10756" max="10756" width="37.6640625" customWidth="1"/>
    <col min="10757" max="10757" width="8.33203125" customWidth="1"/>
    <col min="10758" max="10758" width="8.5546875" customWidth="1"/>
    <col min="10759" max="10759" width="8.109375" customWidth="1"/>
    <col min="10760" max="10760" width="8.44140625" customWidth="1"/>
    <col min="10761" max="10761" width="9.77734375" customWidth="1"/>
    <col min="10762" max="10762" width="50.21875" customWidth="1"/>
    <col min="11010" max="11010" width="27.5546875" customWidth="1"/>
    <col min="11011" max="11011" width="20.6640625" customWidth="1"/>
    <col min="11012" max="11012" width="37.6640625" customWidth="1"/>
    <col min="11013" max="11013" width="8.33203125" customWidth="1"/>
    <col min="11014" max="11014" width="8.5546875" customWidth="1"/>
    <col min="11015" max="11015" width="8.109375" customWidth="1"/>
    <col min="11016" max="11016" width="8.44140625" customWidth="1"/>
    <col min="11017" max="11017" width="9.77734375" customWidth="1"/>
    <col min="11018" max="11018" width="50.21875" customWidth="1"/>
    <col min="11266" max="11266" width="27.5546875" customWidth="1"/>
    <col min="11267" max="11267" width="20.6640625" customWidth="1"/>
    <col min="11268" max="11268" width="37.6640625" customWidth="1"/>
    <col min="11269" max="11269" width="8.33203125" customWidth="1"/>
    <col min="11270" max="11270" width="8.5546875" customWidth="1"/>
    <col min="11271" max="11271" width="8.109375" customWidth="1"/>
    <col min="11272" max="11272" width="8.44140625" customWidth="1"/>
    <col min="11273" max="11273" width="9.77734375" customWidth="1"/>
    <col min="11274" max="11274" width="50.21875" customWidth="1"/>
    <col min="11522" max="11522" width="27.5546875" customWidth="1"/>
    <col min="11523" max="11523" width="20.6640625" customWidth="1"/>
    <col min="11524" max="11524" width="37.6640625" customWidth="1"/>
    <col min="11525" max="11525" width="8.33203125" customWidth="1"/>
    <col min="11526" max="11526" width="8.5546875" customWidth="1"/>
    <col min="11527" max="11527" width="8.109375" customWidth="1"/>
    <col min="11528" max="11528" width="8.44140625" customWidth="1"/>
    <col min="11529" max="11529" width="9.77734375" customWidth="1"/>
    <col min="11530" max="11530" width="50.21875" customWidth="1"/>
    <col min="11778" max="11778" width="27.5546875" customWidth="1"/>
    <col min="11779" max="11779" width="20.6640625" customWidth="1"/>
    <col min="11780" max="11780" width="37.6640625" customWidth="1"/>
    <col min="11781" max="11781" width="8.33203125" customWidth="1"/>
    <col min="11782" max="11782" width="8.5546875" customWidth="1"/>
    <col min="11783" max="11783" width="8.109375" customWidth="1"/>
    <col min="11784" max="11784" width="8.44140625" customWidth="1"/>
    <col min="11785" max="11785" width="9.77734375" customWidth="1"/>
    <col min="11786" max="11786" width="50.21875" customWidth="1"/>
    <col min="12034" max="12034" width="27.5546875" customWidth="1"/>
    <col min="12035" max="12035" width="20.6640625" customWidth="1"/>
    <col min="12036" max="12036" width="37.6640625" customWidth="1"/>
    <col min="12037" max="12037" width="8.33203125" customWidth="1"/>
    <col min="12038" max="12038" width="8.5546875" customWidth="1"/>
    <col min="12039" max="12039" width="8.109375" customWidth="1"/>
    <col min="12040" max="12040" width="8.44140625" customWidth="1"/>
    <col min="12041" max="12041" width="9.77734375" customWidth="1"/>
    <col min="12042" max="12042" width="50.21875" customWidth="1"/>
    <col min="12290" max="12290" width="27.5546875" customWidth="1"/>
    <col min="12291" max="12291" width="20.6640625" customWidth="1"/>
    <col min="12292" max="12292" width="37.6640625" customWidth="1"/>
    <col min="12293" max="12293" width="8.33203125" customWidth="1"/>
    <col min="12294" max="12294" width="8.5546875" customWidth="1"/>
    <col min="12295" max="12295" width="8.109375" customWidth="1"/>
    <col min="12296" max="12296" width="8.44140625" customWidth="1"/>
    <col min="12297" max="12297" width="9.77734375" customWidth="1"/>
    <col min="12298" max="12298" width="50.21875" customWidth="1"/>
    <col min="12546" max="12546" width="27.5546875" customWidth="1"/>
    <col min="12547" max="12547" width="20.6640625" customWidth="1"/>
    <col min="12548" max="12548" width="37.6640625" customWidth="1"/>
    <col min="12549" max="12549" width="8.33203125" customWidth="1"/>
    <col min="12550" max="12550" width="8.5546875" customWidth="1"/>
    <col min="12551" max="12551" width="8.109375" customWidth="1"/>
    <col min="12552" max="12552" width="8.44140625" customWidth="1"/>
    <col min="12553" max="12553" width="9.77734375" customWidth="1"/>
    <col min="12554" max="12554" width="50.21875" customWidth="1"/>
    <col min="12802" max="12802" width="27.5546875" customWidth="1"/>
    <col min="12803" max="12803" width="20.6640625" customWidth="1"/>
    <col min="12804" max="12804" width="37.6640625" customWidth="1"/>
    <col min="12805" max="12805" width="8.33203125" customWidth="1"/>
    <col min="12806" max="12806" width="8.5546875" customWidth="1"/>
    <col min="12807" max="12807" width="8.109375" customWidth="1"/>
    <col min="12808" max="12808" width="8.44140625" customWidth="1"/>
    <col min="12809" max="12809" width="9.77734375" customWidth="1"/>
    <col min="12810" max="12810" width="50.21875" customWidth="1"/>
    <col min="13058" max="13058" width="27.5546875" customWidth="1"/>
    <col min="13059" max="13059" width="20.6640625" customWidth="1"/>
    <col min="13060" max="13060" width="37.6640625" customWidth="1"/>
    <col min="13061" max="13061" width="8.33203125" customWidth="1"/>
    <col min="13062" max="13062" width="8.5546875" customWidth="1"/>
    <col min="13063" max="13063" width="8.109375" customWidth="1"/>
    <col min="13064" max="13064" width="8.44140625" customWidth="1"/>
    <col min="13065" max="13065" width="9.77734375" customWidth="1"/>
    <col min="13066" max="13066" width="50.21875" customWidth="1"/>
    <col min="13314" max="13314" width="27.5546875" customWidth="1"/>
    <col min="13315" max="13315" width="20.6640625" customWidth="1"/>
    <col min="13316" max="13316" width="37.6640625" customWidth="1"/>
    <col min="13317" max="13317" width="8.33203125" customWidth="1"/>
    <col min="13318" max="13318" width="8.5546875" customWidth="1"/>
    <col min="13319" max="13319" width="8.109375" customWidth="1"/>
    <col min="13320" max="13320" width="8.44140625" customWidth="1"/>
    <col min="13321" max="13321" width="9.77734375" customWidth="1"/>
    <col min="13322" max="13322" width="50.21875" customWidth="1"/>
    <col min="13570" max="13570" width="27.5546875" customWidth="1"/>
    <col min="13571" max="13571" width="20.6640625" customWidth="1"/>
    <col min="13572" max="13572" width="37.6640625" customWidth="1"/>
    <col min="13573" max="13573" width="8.33203125" customWidth="1"/>
    <col min="13574" max="13574" width="8.5546875" customWidth="1"/>
    <col min="13575" max="13575" width="8.109375" customWidth="1"/>
    <col min="13576" max="13576" width="8.44140625" customWidth="1"/>
    <col min="13577" max="13577" width="9.77734375" customWidth="1"/>
    <col min="13578" max="13578" width="50.21875" customWidth="1"/>
    <col min="13826" max="13826" width="27.5546875" customWidth="1"/>
    <col min="13827" max="13827" width="20.6640625" customWidth="1"/>
    <col min="13828" max="13828" width="37.6640625" customWidth="1"/>
    <col min="13829" max="13829" width="8.33203125" customWidth="1"/>
    <col min="13830" max="13830" width="8.5546875" customWidth="1"/>
    <col min="13831" max="13831" width="8.109375" customWidth="1"/>
    <col min="13832" max="13832" width="8.44140625" customWidth="1"/>
    <col min="13833" max="13833" width="9.77734375" customWidth="1"/>
    <col min="13834" max="13834" width="50.21875" customWidth="1"/>
    <col min="14082" max="14082" width="27.5546875" customWidth="1"/>
    <col min="14083" max="14083" width="20.6640625" customWidth="1"/>
    <col min="14084" max="14084" width="37.6640625" customWidth="1"/>
    <col min="14085" max="14085" width="8.33203125" customWidth="1"/>
    <col min="14086" max="14086" width="8.5546875" customWidth="1"/>
    <col min="14087" max="14087" width="8.109375" customWidth="1"/>
    <col min="14088" max="14088" width="8.44140625" customWidth="1"/>
    <col min="14089" max="14089" width="9.77734375" customWidth="1"/>
    <col min="14090" max="14090" width="50.21875" customWidth="1"/>
    <col min="14338" max="14338" width="27.5546875" customWidth="1"/>
    <col min="14339" max="14339" width="20.6640625" customWidth="1"/>
    <col min="14340" max="14340" width="37.6640625" customWidth="1"/>
    <col min="14341" max="14341" width="8.33203125" customWidth="1"/>
    <col min="14342" max="14342" width="8.5546875" customWidth="1"/>
    <col min="14343" max="14343" width="8.109375" customWidth="1"/>
    <col min="14344" max="14344" width="8.44140625" customWidth="1"/>
    <col min="14345" max="14345" width="9.77734375" customWidth="1"/>
    <col min="14346" max="14346" width="50.21875" customWidth="1"/>
    <col min="14594" max="14594" width="27.5546875" customWidth="1"/>
    <col min="14595" max="14595" width="20.6640625" customWidth="1"/>
    <col min="14596" max="14596" width="37.6640625" customWidth="1"/>
    <col min="14597" max="14597" width="8.33203125" customWidth="1"/>
    <col min="14598" max="14598" width="8.5546875" customWidth="1"/>
    <col min="14599" max="14599" width="8.109375" customWidth="1"/>
    <col min="14600" max="14600" width="8.44140625" customWidth="1"/>
    <col min="14601" max="14601" width="9.77734375" customWidth="1"/>
    <col min="14602" max="14602" width="50.21875" customWidth="1"/>
    <col min="14850" max="14850" width="27.5546875" customWidth="1"/>
    <col min="14851" max="14851" width="20.6640625" customWidth="1"/>
    <col min="14852" max="14852" width="37.6640625" customWidth="1"/>
    <col min="14853" max="14853" width="8.33203125" customWidth="1"/>
    <col min="14854" max="14854" width="8.5546875" customWidth="1"/>
    <col min="14855" max="14855" width="8.109375" customWidth="1"/>
    <col min="14856" max="14856" width="8.44140625" customWidth="1"/>
    <col min="14857" max="14857" width="9.77734375" customWidth="1"/>
    <col min="14858" max="14858" width="50.21875" customWidth="1"/>
    <col min="15106" max="15106" width="27.5546875" customWidth="1"/>
    <col min="15107" max="15107" width="20.6640625" customWidth="1"/>
    <col min="15108" max="15108" width="37.6640625" customWidth="1"/>
    <col min="15109" max="15109" width="8.33203125" customWidth="1"/>
    <col min="15110" max="15110" width="8.5546875" customWidth="1"/>
    <col min="15111" max="15111" width="8.109375" customWidth="1"/>
    <col min="15112" max="15112" width="8.44140625" customWidth="1"/>
    <col min="15113" max="15113" width="9.77734375" customWidth="1"/>
    <col min="15114" max="15114" width="50.21875" customWidth="1"/>
    <col min="15362" max="15362" width="27.5546875" customWidth="1"/>
    <col min="15363" max="15363" width="20.6640625" customWidth="1"/>
    <col min="15364" max="15364" width="37.6640625" customWidth="1"/>
    <col min="15365" max="15365" width="8.33203125" customWidth="1"/>
    <col min="15366" max="15366" width="8.5546875" customWidth="1"/>
    <col min="15367" max="15367" width="8.109375" customWidth="1"/>
    <col min="15368" max="15368" width="8.44140625" customWidth="1"/>
    <col min="15369" max="15369" width="9.77734375" customWidth="1"/>
    <col min="15370" max="15370" width="50.21875" customWidth="1"/>
    <col min="15618" max="15618" width="27.5546875" customWidth="1"/>
    <col min="15619" max="15619" width="20.6640625" customWidth="1"/>
    <col min="15620" max="15620" width="37.6640625" customWidth="1"/>
    <col min="15621" max="15621" width="8.33203125" customWidth="1"/>
    <col min="15622" max="15622" width="8.5546875" customWidth="1"/>
    <col min="15623" max="15623" width="8.109375" customWidth="1"/>
    <col min="15624" max="15624" width="8.44140625" customWidth="1"/>
    <col min="15625" max="15625" width="9.77734375" customWidth="1"/>
    <col min="15626" max="15626" width="50.21875" customWidth="1"/>
    <col min="15874" max="15874" width="27.5546875" customWidth="1"/>
    <col min="15875" max="15875" width="20.6640625" customWidth="1"/>
    <col min="15876" max="15876" width="37.6640625" customWidth="1"/>
    <col min="15877" max="15877" width="8.33203125" customWidth="1"/>
    <col min="15878" max="15878" width="8.5546875" customWidth="1"/>
    <col min="15879" max="15879" width="8.109375" customWidth="1"/>
    <col min="15880" max="15880" width="8.44140625" customWidth="1"/>
    <col min="15881" max="15881" width="9.77734375" customWidth="1"/>
    <col min="15882" max="15882" width="50.21875" customWidth="1"/>
    <col min="16130" max="16130" width="27.5546875" customWidth="1"/>
    <col min="16131" max="16131" width="20.6640625" customWidth="1"/>
    <col min="16132" max="16132" width="37.6640625" customWidth="1"/>
    <col min="16133" max="16133" width="8.33203125" customWidth="1"/>
    <col min="16134" max="16134" width="8.5546875" customWidth="1"/>
    <col min="16135" max="16135" width="8.109375" customWidth="1"/>
    <col min="16136" max="16136" width="8.44140625" customWidth="1"/>
    <col min="16137" max="16137" width="9.77734375" customWidth="1"/>
    <col min="16138" max="16138" width="50.21875" customWidth="1"/>
  </cols>
  <sheetData>
    <row r="1" spans="1:11" ht="26.25" x14ac:dyDescent="0.2">
      <c r="A1" s="423" t="s">
        <v>198</v>
      </c>
      <c r="B1" s="424"/>
      <c r="C1" s="424"/>
      <c r="D1" s="424"/>
      <c r="E1" s="424"/>
      <c r="F1" s="424"/>
      <c r="G1" s="424"/>
      <c r="H1" s="424"/>
      <c r="I1" s="424"/>
      <c r="J1" s="424"/>
    </row>
    <row r="2" spans="1:11" ht="26.25" x14ac:dyDescent="0.2">
      <c r="A2" s="430" t="s">
        <v>199</v>
      </c>
      <c r="B2" s="430"/>
      <c r="C2" s="430"/>
      <c r="D2" s="430"/>
      <c r="E2" s="430"/>
      <c r="F2" s="430"/>
      <c r="G2" s="430"/>
      <c r="H2" s="430"/>
      <c r="I2" s="430"/>
      <c r="J2" s="430"/>
    </row>
    <row r="3" spans="1:11" ht="25.5" x14ac:dyDescent="0.2">
      <c r="A3" s="425"/>
      <c r="B3" s="426"/>
      <c r="C3" s="426"/>
      <c r="D3" s="426"/>
      <c r="E3" s="426"/>
      <c r="F3" s="426"/>
      <c r="G3" s="426"/>
      <c r="H3" s="426"/>
      <c r="I3" s="426"/>
      <c r="J3" s="426"/>
    </row>
    <row r="4" spans="1:11" ht="25.5" x14ac:dyDescent="0.2">
      <c r="A4" s="45" t="s">
        <v>211</v>
      </c>
      <c r="B4" s="427" t="s">
        <v>210</v>
      </c>
      <c r="C4" s="427"/>
      <c r="D4" s="431" t="s">
        <v>2</v>
      </c>
      <c r="E4" s="428"/>
      <c r="F4" s="428" t="s">
        <v>212</v>
      </c>
      <c r="G4" s="428"/>
      <c r="H4" s="428"/>
      <c r="I4" s="428"/>
      <c r="J4" s="429" t="s">
        <v>206</v>
      </c>
    </row>
    <row r="5" spans="1:11" ht="24" customHeight="1" x14ac:dyDescent="0.2">
      <c r="A5" s="47" t="s">
        <v>200</v>
      </c>
      <c r="B5" s="433"/>
      <c r="C5" s="433"/>
      <c r="D5" s="48" t="s">
        <v>201</v>
      </c>
      <c r="E5" s="49" t="s">
        <v>202</v>
      </c>
      <c r="F5" s="49" t="s">
        <v>203</v>
      </c>
      <c r="G5" s="49" t="s">
        <v>204</v>
      </c>
      <c r="H5" s="49" t="s">
        <v>205</v>
      </c>
      <c r="I5" s="49" t="s">
        <v>208</v>
      </c>
      <c r="J5" s="432"/>
    </row>
    <row r="6" spans="1:11" ht="76.5" customHeight="1" x14ac:dyDescent="0.2">
      <c r="A6" s="434" t="s">
        <v>215</v>
      </c>
      <c r="B6" s="435"/>
      <c r="C6" s="435"/>
      <c r="D6" s="51"/>
      <c r="E6" s="51">
        <f>Hoja8!C14/Hoja8!C31</f>
        <v>4.9469006981937413</v>
      </c>
      <c r="F6" s="51">
        <f>Hoja8!D14/Hoja8!D31</f>
        <v>6.6631757762264998</v>
      </c>
      <c r="G6" s="51">
        <f>Hoja8!E14/Hoja8!E31</f>
        <v>9.0751753499852938</v>
      </c>
      <c r="H6" s="51">
        <f>Hoja8!F14/Hoja8!F31</f>
        <v>12.081139919439632</v>
      </c>
      <c r="I6" s="51">
        <f>Hoja8!G14/Hoja8!G31</f>
        <v>15.192034529975336</v>
      </c>
      <c r="J6" s="52" t="s">
        <v>209</v>
      </c>
    </row>
    <row r="7" spans="1:11" ht="134.25" customHeight="1" x14ac:dyDescent="0.2">
      <c r="A7" s="434"/>
      <c r="B7" s="436"/>
      <c r="C7" s="436"/>
      <c r="D7" s="51"/>
      <c r="E7" s="51"/>
      <c r="F7" s="51">
        <f>(Hoja8!D14-Hoja8!D10-Hoja8!D11-Hoja8!D12)/(Hoja8!D31)</f>
        <v>5.236680677808276</v>
      </c>
      <c r="G7" s="51">
        <f>(Hoja8!E14-Hoja8!E10-Hoja8!E11-Hoja8!E12)/(Hoja8!E31)</f>
        <v>7.6682343455284423</v>
      </c>
      <c r="H7" s="51">
        <f>(Hoja8!F14-Hoja8!F10-Hoja8!F11-Hoja8!F12)/(Hoja8!F31)</f>
        <v>10.691041116285859</v>
      </c>
      <c r="I7" s="51">
        <f>(Hoja8!G14-Hoja8!G10-Hoja8!G11-Hoja8!G12)/(Hoja8!G31)</f>
        <v>13.81664671468678</v>
      </c>
      <c r="J7" s="52" t="s">
        <v>207</v>
      </c>
    </row>
    <row r="8" spans="1:11" ht="59.25" customHeight="1" x14ac:dyDescent="0.2">
      <c r="A8" s="434"/>
      <c r="B8" s="437"/>
      <c r="C8" s="437"/>
      <c r="D8" s="51"/>
      <c r="E8" s="51">
        <f>Hoja8!C24/Hoja8!C32</f>
        <v>2.137350675484988</v>
      </c>
      <c r="F8" s="51">
        <f>Hoja8!D24/Hoja8!D32</f>
        <v>2.1672157246955019</v>
      </c>
      <c r="G8" s="51">
        <f>Hoja8!E24/Hoja8!E32</f>
        <v>2.3581350564595009</v>
      </c>
      <c r="H8" s="51">
        <f>Hoja8!F24/Hoja8!F32</f>
        <v>3.175473406770684</v>
      </c>
      <c r="I8" s="51"/>
      <c r="J8" s="52"/>
    </row>
    <row r="9" spans="1:11" ht="66" customHeight="1" x14ac:dyDescent="0.2">
      <c r="A9" s="434"/>
      <c r="B9" s="437"/>
      <c r="C9" s="437"/>
      <c r="D9" s="51"/>
      <c r="E9" s="51"/>
      <c r="F9" s="51"/>
      <c r="G9" s="51"/>
      <c r="H9" s="51"/>
      <c r="I9" s="51"/>
      <c r="J9" s="52"/>
    </row>
    <row r="10" spans="1:11" ht="23.25" x14ac:dyDescent="0.2">
      <c r="A10" s="54"/>
      <c r="B10" s="55"/>
      <c r="C10" s="55"/>
      <c r="D10" s="56"/>
      <c r="E10" s="56"/>
      <c r="F10" s="56"/>
      <c r="G10" s="56"/>
      <c r="H10" s="56"/>
      <c r="I10" s="56"/>
      <c r="J10" s="57"/>
      <c r="K10" s="15"/>
    </row>
    <row r="11" spans="1:11" ht="25.5" x14ac:dyDescent="0.2">
      <c r="A11" s="45" t="s">
        <v>211</v>
      </c>
      <c r="B11" s="427" t="s">
        <v>210</v>
      </c>
      <c r="C11" s="427"/>
      <c r="D11" s="428" t="s">
        <v>2</v>
      </c>
      <c r="E11" s="428"/>
      <c r="F11" s="428" t="s">
        <v>212</v>
      </c>
      <c r="G11" s="428"/>
      <c r="H11" s="428"/>
      <c r="I11" s="428"/>
      <c r="J11" s="429" t="s">
        <v>206</v>
      </c>
    </row>
    <row r="12" spans="1:11" ht="23.25" x14ac:dyDescent="0.2">
      <c r="A12" s="46" t="s">
        <v>200</v>
      </c>
      <c r="B12" s="427"/>
      <c r="C12" s="427"/>
      <c r="D12" s="53" t="s">
        <v>201</v>
      </c>
      <c r="E12" s="53" t="s">
        <v>202</v>
      </c>
      <c r="F12" s="53" t="s">
        <v>203</v>
      </c>
      <c r="G12" s="53" t="s">
        <v>204</v>
      </c>
      <c r="H12" s="53" t="s">
        <v>205</v>
      </c>
      <c r="I12" s="53" t="s">
        <v>208</v>
      </c>
      <c r="J12" s="429"/>
    </row>
    <row r="13" spans="1:11" ht="69" customHeight="1" x14ac:dyDescent="0.2">
      <c r="A13" s="427" t="s">
        <v>214</v>
      </c>
      <c r="B13" s="427"/>
      <c r="C13" s="427"/>
      <c r="D13" s="53"/>
      <c r="E13" s="53"/>
      <c r="F13" s="53">
        <f>Hoja3!D131/Hoja8!D10</f>
        <v>0.90858499950029492</v>
      </c>
      <c r="G13" s="53">
        <f>Hoja3!E131/Hoja8!E10</f>
        <v>0.91366659235395231</v>
      </c>
      <c r="H13" s="53">
        <f>Hoja3!F131/Hoja8!F10</f>
        <v>0.91861351197618024</v>
      </c>
      <c r="I13" s="53">
        <f>Hoja3!G131/Hoja8!G10</f>
        <v>0.92261399008279388</v>
      </c>
      <c r="J13" s="70" t="s">
        <v>213</v>
      </c>
    </row>
    <row r="14" spans="1:11" ht="60.75" customHeight="1" x14ac:dyDescent="0.2">
      <c r="A14" s="427"/>
      <c r="B14" s="427"/>
      <c r="C14" s="427"/>
      <c r="D14" s="53"/>
      <c r="E14" s="53"/>
      <c r="F14" s="53"/>
      <c r="G14" s="53"/>
      <c r="H14" s="53"/>
      <c r="I14" s="53"/>
      <c r="J14" s="70" t="s">
        <v>217</v>
      </c>
    </row>
    <row r="15" spans="1:11" ht="66.75" customHeight="1" x14ac:dyDescent="0.2">
      <c r="A15" s="427"/>
      <c r="B15" s="427"/>
      <c r="C15" s="427"/>
      <c r="D15" s="53"/>
      <c r="E15" s="53"/>
      <c r="F15" s="53"/>
      <c r="G15" s="53"/>
      <c r="H15" s="53"/>
      <c r="I15" s="53"/>
      <c r="J15" s="70" t="s">
        <v>216</v>
      </c>
    </row>
    <row r="16" spans="1:11" ht="62.25" customHeight="1" x14ac:dyDescent="0.2">
      <c r="A16" s="427"/>
      <c r="B16" s="427"/>
      <c r="C16" s="427"/>
      <c r="D16"/>
      <c r="E16" s="53"/>
      <c r="F16" s="53"/>
      <c r="G16" s="53"/>
      <c r="H16" s="53"/>
      <c r="I16" s="53"/>
      <c r="J16" s="70" t="s">
        <v>218</v>
      </c>
    </row>
    <row r="17" spans="1:10" ht="57.75" customHeight="1" x14ac:dyDescent="0.2">
      <c r="A17" s="427"/>
      <c r="B17" s="427"/>
      <c r="C17" s="427"/>
      <c r="D17" s="53"/>
      <c r="E17" s="53"/>
      <c r="F17" s="53"/>
      <c r="G17" s="53"/>
      <c r="H17" s="53"/>
      <c r="I17" s="53"/>
      <c r="J17" s="70" t="s">
        <v>219</v>
      </c>
    </row>
    <row r="18" spans="1:10" ht="57.75" customHeight="1" x14ac:dyDescent="0.2">
      <c r="A18" s="427"/>
      <c r="B18" s="427"/>
      <c r="C18" s="427"/>
      <c r="D18" s="53"/>
      <c r="E18" s="53"/>
      <c r="F18" s="53"/>
      <c r="G18" s="53"/>
      <c r="H18" s="53"/>
      <c r="I18" s="53"/>
      <c r="J18" s="70" t="s">
        <v>229</v>
      </c>
    </row>
    <row r="19" spans="1:10" ht="57.75" customHeight="1" x14ac:dyDescent="0.2">
      <c r="A19" s="427"/>
      <c r="B19" s="427"/>
      <c r="C19" s="427"/>
      <c r="D19" s="53"/>
      <c r="E19" s="53"/>
      <c r="F19" s="53"/>
      <c r="G19" s="53"/>
      <c r="H19" s="53"/>
      <c r="I19" s="53"/>
      <c r="J19" s="71"/>
    </row>
    <row r="20" spans="1:10" ht="57.75" customHeight="1" x14ac:dyDescent="0.2">
      <c r="A20" s="427"/>
      <c r="B20" s="427"/>
      <c r="C20" s="427"/>
      <c r="D20" s="53"/>
      <c r="E20" s="53"/>
      <c r="F20" s="53"/>
      <c r="G20" s="53"/>
      <c r="H20" s="53"/>
      <c r="I20" s="53"/>
      <c r="J20" s="70"/>
    </row>
    <row r="21" spans="1:10" ht="57.75" customHeight="1" x14ac:dyDescent="0.2">
      <c r="A21" s="427"/>
      <c r="B21" s="427"/>
      <c r="C21" s="427"/>
      <c r="D21" s="53"/>
      <c r="E21" s="53"/>
      <c r="F21" s="53"/>
      <c r="G21" s="53"/>
      <c r="H21" s="53"/>
      <c r="I21" s="53"/>
      <c r="J21" s="70" t="s">
        <v>220</v>
      </c>
    </row>
    <row r="22" spans="1:10" ht="57.75" customHeight="1" x14ac:dyDescent="0.2">
      <c r="A22" s="427"/>
      <c r="B22" s="427"/>
      <c r="C22" s="427"/>
      <c r="D22" s="53"/>
      <c r="E22" s="53"/>
      <c r="F22" s="53"/>
      <c r="G22" s="53"/>
      <c r="H22" s="53"/>
      <c r="I22" s="53"/>
      <c r="J22" s="71"/>
    </row>
    <row r="23" spans="1:10" ht="57.75" customHeight="1" x14ac:dyDescent="0.2">
      <c r="A23" s="427"/>
      <c r="B23" s="427"/>
      <c r="C23" s="427"/>
      <c r="D23" s="53"/>
      <c r="E23" s="53"/>
      <c r="F23" s="53"/>
      <c r="G23" s="53"/>
      <c r="H23" s="53"/>
      <c r="I23" s="53"/>
      <c r="J23" s="71"/>
    </row>
    <row r="24" spans="1:10" ht="23.25" x14ac:dyDescent="0.2">
      <c r="A24" s="59"/>
      <c r="B24" s="59"/>
      <c r="C24" s="59"/>
      <c r="D24" s="60"/>
      <c r="E24" s="60"/>
      <c r="F24" s="60"/>
      <c r="G24" s="60"/>
      <c r="H24" s="60"/>
      <c r="I24" s="60"/>
      <c r="J24" s="58"/>
    </row>
    <row r="25" spans="1:10" ht="23.25" x14ac:dyDescent="0.2">
      <c r="A25" s="59"/>
      <c r="B25" s="59"/>
      <c r="C25" s="59"/>
      <c r="D25" s="60"/>
      <c r="E25" s="60"/>
      <c r="F25" s="60"/>
      <c r="G25" s="60"/>
      <c r="H25" s="60"/>
      <c r="I25" s="60"/>
      <c r="J25" s="58"/>
    </row>
    <row r="26" spans="1:10" ht="25.5" x14ac:dyDescent="0.2">
      <c r="A26" s="45" t="s">
        <v>211</v>
      </c>
      <c r="B26" s="427" t="s">
        <v>210</v>
      </c>
      <c r="C26" s="427"/>
      <c r="D26" s="428" t="s">
        <v>2</v>
      </c>
      <c r="E26" s="428"/>
      <c r="F26" s="428" t="s">
        <v>212</v>
      </c>
      <c r="G26" s="428"/>
      <c r="H26" s="428"/>
      <c r="I26" s="428"/>
      <c r="J26" s="429" t="s">
        <v>206</v>
      </c>
    </row>
    <row r="27" spans="1:10" ht="23.25" x14ac:dyDescent="0.2">
      <c r="A27" s="50" t="s">
        <v>200</v>
      </c>
      <c r="B27" s="433"/>
      <c r="C27" s="433"/>
      <c r="D27" s="63" t="s">
        <v>201</v>
      </c>
      <c r="E27" s="63" t="s">
        <v>202</v>
      </c>
      <c r="F27" s="63" t="s">
        <v>203</v>
      </c>
      <c r="G27" s="63" t="s">
        <v>204</v>
      </c>
      <c r="H27" s="63" t="s">
        <v>205</v>
      </c>
      <c r="I27" s="63" t="s">
        <v>208</v>
      </c>
      <c r="J27" s="429"/>
    </row>
    <row r="28" spans="1:10" ht="66.75" customHeight="1" x14ac:dyDescent="0.2">
      <c r="A28" s="427" t="s">
        <v>221</v>
      </c>
      <c r="B28" s="427"/>
      <c r="C28" s="427"/>
      <c r="D28" s="53"/>
      <c r="E28" s="53"/>
      <c r="F28" s="53"/>
      <c r="G28" s="53"/>
      <c r="H28" s="53"/>
      <c r="I28" s="53"/>
      <c r="J28" s="46"/>
    </row>
    <row r="29" spans="1:10" ht="74.25" customHeight="1" x14ac:dyDescent="0.2">
      <c r="A29" s="429"/>
      <c r="B29" s="427"/>
      <c r="C29" s="427"/>
      <c r="D29" s="53"/>
      <c r="E29" s="53"/>
      <c r="F29" s="53"/>
      <c r="G29" s="53"/>
      <c r="H29" s="53"/>
      <c r="I29" s="53"/>
      <c r="J29" s="46"/>
    </row>
    <row r="30" spans="1:10" ht="54" customHeight="1" x14ac:dyDescent="0.2">
      <c r="A30" s="429"/>
      <c r="B30" s="427"/>
      <c r="C30" s="427"/>
      <c r="D30" s="53"/>
      <c r="E30" s="53"/>
      <c r="F30" s="53"/>
      <c r="G30" s="53"/>
      <c r="H30" s="53"/>
      <c r="I30" s="53"/>
      <c r="J30" s="46"/>
    </row>
    <row r="31" spans="1:10" ht="54.95" customHeight="1" x14ac:dyDescent="0.2">
      <c r="A31" s="429"/>
      <c r="B31" s="427"/>
      <c r="C31" s="427"/>
      <c r="D31" s="53"/>
      <c r="E31" s="53"/>
      <c r="F31" s="53"/>
      <c r="G31" s="53"/>
      <c r="H31" s="53"/>
      <c r="I31" s="53"/>
      <c r="J31" s="46"/>
    </row>
    <row r="32" spans="1:10" ht="54.95" customHeight="1" x14ac:dyDescent="0.2">
      <c r="A32" s="429"/>
      <c r="B32" s="436"/>
      <c r="C32" s="436"/>
      <c r="D32" s="53"/>
      <c r="E32" s="53"/>
      <c r="F32" s="53"/>
      <c r="G32" s="53"/>
      <c r="H32" s="53"/>
      <c r="I32" s="53"/>
      <c r="J32" s="46"/>
    </row>
    <row r="33" spans="1:11" ht="54.95" customHeight="1" x14ac:dyDescent="0.2">
      <c r="A33" s="429"/>
      <c r="B33" s="427"/>
      <c r="C33" s="427"/>
      <c r="D33" s="53"/>
      <c r="E33" s="53"/>
      <c r="F33" s="53"/>
      <c r="G33" s="53"/>
      <c r="H33" s="53"/>
      <c r="I33" s="53"/>
      <c r="J33" s="46"/>
    </row>
    <row r="34" spans="1:11" ht="54.95" customHeight="1" x14ac:dyDescent="0.2">
      <c r="A34" s="58"/>
      <c r="B34" s="59"/>
      <c r="C34"/>
      <c r="D34" s="60"/>
      <c r="E34" s="60"/>
      <c r="F34" s="60"/>
      <c r="G34" s="60"/>
      <c r="H34" s="60"/>
      <c r="I34" s="60"/>
      <c r="J34" s="58"/>
    </row>
    <row r="35" spans="1:11" ht="25.5" x14ac:dyDescent="0.2">
      <c r="A35" s="45" t="s">
        <v>211</v>
      </c>
      <c r="B35" s="427" t="s">
        <v>210</v>
      </c>
      <c r="C35" s="427"/>
      <c r="D35" s="428" t="s">
        <v>2</v>
      </c>
      <c r="E35" s="428"/>
      <c r="F35" s="428" t="s">
        <v>212</v>
      </c>
      <c r="G35" s="428"/>
      <c r="H35" s="428"/>
      <c r="I35" s="428"/>
      <c r="J35" s="429" t="s">
        <v>206</v>
      </c>
    </row>
    <row r="36" spans="1:11" ht="23.25" x14ac:dyDescent="0.2">
      <c r="A36" s="46" t="s">
        <v>200</v>
      </c>
      <c r="B36" s="427"/>
      <c r="C36" s="427"/>
      <c r="D36" s="53" t="s">
        <v>201</v>
      </c>
      <c r="E36" s="53" t="s">
        <v>202</v>
      </c>
      <c r="F36" s="53" t="s">
        <v>203</v>
      </c>
      <c r="G36" s="53" t="s">
        <v>204</v>
      </c>
      <c r="H36" s="53" t="s">
        <v>205</v>
      </c>
      <c r="I36" s="53" t="s">
        <v>208</v>
      </c>
      <c r="J36" s="429"/>
    </row>
    <row r="37" spans="1:11" ht="65.099999999999994" customHeight="1" x14ac:dyDescent="0.2">
      <c r="A37" s="427" t="s">
        <v>222</v>
      </c>
      <c r="B37" s="437"/>
      <c r="C37" s="437"/>
      <c r="D37" s="51"/>
      <c r="E37" s="51"/>
      <c r="F37" s="51"/>
      <c r="G37" s="51"/>
      <c r="H37" s="51"/>
      <c r="I37" s="51"/>
      <c r="J37" s="52"/>
    </row>
    <row r="38" spans="1:11" ht="65.099999999999994" customHeight="1" x14ac:dyDescent="0.2">
      <c r="A38" s="427"/>
      <c r="B38" s="437"/>
      <c r="C38" s="437"/>
      <c r="D38" s="18"/>
      <c r="E38" s="51"/>
      <c r="F38" s="51"/>
      <c r="G38" s="51"/>
      <c r="H38" s="51"/>
      <c r="I38" s="51"/>
      <c r="J38" s="52"/>
    </row>
    <row r="39" spans="1:11" ht="65.099999999999994" customHeight="1" x14ac:dyDescent="0.2">
      <c r="A39" s="433"/>
      <c r="B39" s="438"/>
      <c r="C39" s="438"/>
      <c r="D39" s="64"/>
      <c r="E39" s="64"/>
      <c r="F39" s="64"/>
      <c r="G39" s="64"/>
      <c r="H39" s="64"/>
      <c r="I39" s="64"/>
      <c r="J39" s="65"/>
    </row>
    <row r="40" spans="1:11" ht="23.25" x14ac:dyDescent="0.2">
      <c r="A40" s="66"/>
      <c r="B40" s="67"/>
      <c r="C40" s="67"/>
      <c r="D40" s="68"/>
      <c r="E40" s="68"/>
      <c r="F40" s="68"/>
      <c r="G40" s="68"/>
      <c r="H40" s="68"/>
      <c r="I40" s="68"/>
      <c r="J40" s="69"/>
      <c r="K40" s="7"/>
    </row>
    <row r="41" spans="1:11" ht="25.5" x14ac:dyDescent="0.2">
      <c r="A41" s="45" t="s">
        <v>211</v>
      </c>
      <c r="B41" s="427" t="s">
        <v>210</v>
      </c>
      <c r="C41" s="427"/>
      <c r="D41" s="428" t="s">
        <v>2</v>
      </c>
      <c r="E41" s="428"/>
      <c r="F41" s="428" t="s">
        <v>212</v>
      </c>
      <c r="G41" s="428"/>
      <c r="H41" s="428"/>
      <c r="I41" s="428"/>
      <c r="J41" s="429" t="s">
        <v>206</v>
      </c>
    </row>
    <row r="42" spans="1:11" ht="23.25" x14ac:dyDescent="0.2">
      <c r="A42" s="46" t="s">
        <v>200</v>
      </c>
      <c r="B42" s="427"/>
      <c r="C42" s="427"/>
      <c r="D42" s="53" t="s">
        <v>201</v>
      </c>
      <c r="E42" s="53" t="s">
        <v>202</v>
      </c>
      <c r="F42" s="53" t="s">
        <v>203</v>
      </c>
      <c r="G42" s="53" t="s">
        <v>204</v>
      </c>
      <c r="H42" s="53" t="s">
        <v>205</v>
      </c>
      <c r="I42" s="53" t="s">
        <v>208</v>
      </c>
      <c r="J42" s="429"/>
    </row>
    <row r="43" spans="1:11" ht="65.099999999999994" customHeight="1" x14ac:dyDescent="0.2">
      <c r="A43" s="427" t="s">
        <v>223</v>
      </c>
      <c r="B43" s="437"/>
      <c r="C43" s="437"/>
      <c r="D43" s="18"/>
      <c r="E43" s="51">
        <f>Hoja6!C27/Hoja6!C25</f>
        <v>0.40817289658968187</v>
      </c>
      <c r="F43" s="51">
        <f>Hoja6!D27/Hoja6!D25</f>
        <v>0.44266357294862402</v>
      </c>
      <c r="G43" s="51">
        <f>Hoja6!E27/Hoja6!E25</f>
        <v>0.47263851782867228</v>
      </c>
      <c r="H43" s="51">
        <f>Hoja6!F27/Hoja6!F25</f>
        <v>0.50049113898585096</v>
      </c>
      <c r="I43" s="51">
        <f>Hoja6!G27/Hoja6!G25</f>
        <v>0.50909145556376778</v>
      </c>
      <c r="J43" s="52" t="s">
        <v>224</v>
      </c>
    </row>
    <row r="44" spans="1:11" ht="65.099999999999994" customHeight="1" x14ac:dyDescent="0.2">
      <c r="A44" s="429"/>
      <c r="B44" s="437"/>
      <c r="C44" s="437"/>
      <c r="D44" s="18"/>
      <c r="E44" s="51"/>
      <c r="F44" s="51"/>
      <c r="G44" s="51"/>
      <c r="H44" s="51"/>
      <c r="I44" s="51"/>
      <c r="J44" s="52" t="s">
        <v>225</v>
      </c>
    </row>
    <row r="45" spans="1:11" ht="65.099999999999994" customHeight="1" x14ac:dyDescent="0.2">
      <c r="A45" s="429"/>
      <c r="B45" s="437"/>
      <c r="C45" s="437"/>
      <c r="D45" s="51"/>
      <c r="E45" s="18"/>
      <c r="F45" s="18"/>
      <c r="G45" s="51"/>
      <c r="H45" s="51"/>
      <c r="I45" s="51"/>
      <c r="J45" s="52" t="s">
        <v>226</v>
      </c>
    </row>
    <row r="46" spans="1:11" ht="65.099999999999994" customHeight="1" x14ac:dyDescent="0.2">
      <c r="A46" s="429"/>
      <c r="B46" s="437"/>
      <c r="C46" s="437"/>
      <c r="D46" s="51"/>
      <c r="E46" s="51"/>
      <c r="F46" s="51"/>
      <c r="G46" s="51"/>
      <c r="H46" s="51"/>
      <c r="I46" s="51"/>
      <c r="J46" s="52" t="s">
        <v>227</v>
      </c>
    </row>
    <row r="47" spans="1:11" ht="65.099999999999994" customHeight="1" x14ac:dyDescent="0.2">
      <c r="A47" s="429"/>
      <c r="B47" s="436"/>
      <c r="C47" s="436"/>
      <c r="D47" s="51"/>
      <c r="E47" s="51"/>
      <c r="F47" s="51"/>
      <c r="G47" s="51"/>
      <c r="H47" s="51"/>
      <c r="I47" s="51"/>
      <c r="J47" s="52" t="s">
        <v>228</v>
      </c>
    </row>
  </sheetData>
  <mergeCells count="57">
    <mergeCell ref="D41:E41"/>
    <mergeCell ref="F41:I41"/>
    <mergeCell ref="J41:J42"/>
    <mergeCell ref="A43:A47"/>
    <mergeCell ref="B43:C43"/>
    <mergeCell ref="B44:C44"/>
    <mergeCell ref="B45:C45"/>
    <mergeCell ref="B46:C46"/>
    <mergeCell ref="B47:C47"/>
    <mergeCell ref="B37:C37"/>
    <mergeCell ref="B38:C38"/>
    <mergeCell ref="B39:C39"/>
    <mergeCell ref="A37:A39"/>
    <mergeCell ref="B41:C42"/>
    <mergeCell ref="J26:J27"/>
    <mergeCell ref="B35:C36"/>
    <mergeCell ref="D35:E35"/>
    <mergeCell ref="F35:I35"/>
    <mergeCell ref="J35:J36"/>
    <mergeCell ref="B30:C30"/>
    <mergeCell ref="B31:C31"/>
    <mergeCell ref="B32:C32"/>
    <mergeCell ref="B33:C33"/>
    <mergeCell ref="A28:A33"/>
    <mergeCell ref="B26:C27"/>
    <mergeCell ref="D26:E26"/>
    <mergeCell ref="F26:I26"/>
    <mergeCell ref="B28:C28"/>
    <mergeCell ref="B29:C29"/>
    <mergeCell ref="B20:C20"/>
    <mergeCell ref="B21:C21"/>
    <mergeCell ref="B22:C22"/>
    <mergeCell ref="B23:C23"/>
    <mergeCell ref="A13:A23"/>
    <mergeCell ref="B13:C13"/>
    <mergeCell ref="B15:C15"/>
    <mergeCell ref="B16:C16"/>
    <mergeCell ref="B17:C17"/>
    <mergeCell ref="B18:C18"/>
    <mergeCell ref="B19:C19"/>
    <mergeCell ref="B14:C14"/>
    <mergeCell ref="A1:J1"/>
    <mergeCell ref="A3:J3"/>
    <mergeCell ref="B11:C12"/>
    <mergeCell ref="D11:E11"/>
    <mergeCell ref="F11:I11"/>
    <mergeCell ref="J11:J12"/>
    <mergeCell ref="A2:J2"/>
    <mergeCell ref="D4:E4"/>
    <mergeCell ref="F4:I4"/>
    <mergeCell ref="J4:J5"/>
    <mergeCell ref="B4:C5"/>
    <mergeCell ref="A6:A9"/>
    <mergeCell ref="B6:C6"/>
    <mergeCell ref="B7:C7"/>
    <mergeCell ref="B8:C8"/>
    <mergeCell ref="B9:C9"/>
  </mergeCells>
  <pageMargins left="0.7" right="0.7" top="0.75" bottom="0.75" header="0.3" footer="0.3"/>
  <pageSetup scale="40" orientation="landscape" horizontalDpi="0" verticalDpi="0" r:id="rId1"/>
  <drawing r:id="rId2"/>
  <legacyDrawing r:id="rId3"/>
  <oleObjects>
    <mc:AlternateContent xmlns:mc="http://schemas.openxmlformats.org/markup-compatibility/2006">
      <mc:Choice Requires="x14">
        <oleObject progId="Equation.3" shapeId="9217" r:id="rId4">
          <objectPr defaultSize="0" autoPict="0" r:id="rId5">
            <anchor moveWithCells="1" sizeWithCells="1">
              <from>
                <xdr:col>1</xdr:col>
                <xdr:colOff>971550</xdr:colOff>
                <xdr:row>5</xdr:row>
                <xdr:rowOff>95250</xdr:rowOff>
              </from>
              <to>
                <xdr:col>2</xdr:col>
                <xdr:colOff>1952625</xdr:colOff>
                <xdr:row>5</xdr:row>
                <xdr:rowOff>666750</xdr:rowOff>
              </to>
            </anchor>
          </objectPr>
        </oleObject>
      </mc:Choice>
      <mc:Fallback>
        <oleObject progId="Equation.3" shapeId="9217" r:id="rId4"/>
      </mc:Fallback>
    </mc:AlternateContent>
    <mc:AlternateContent xmlns:mc="http://schemas.openxmlformats.org/markup-compatibility/2006">
      <mc:Choice Requires="x14">
        <oleObject progId="Equation.3" shapeId="9218" r:id="rId6">
          <objectPr defaultSize="0" autoPict="0" r:id="rId7">
            <anchor moveWithCells="1" sizeWithCells="1">
              <from>
                <xdr:col>1</xdr:col>
                <xdr:colOff>371475</xdr:colOff>
                <xdr:row>6</xdr:row>
                <xdr:rowOff>466725</xdr:rowOff>
              </from>
              <to>
                <xdr:col>2</xdr:col>
                <xdr:colOff>2771775</xdr:colOff>
                <xdr:row>6</xdr:row>
                <xdr:rowOff>1162050</xdr:rowOff>
              </to>
            </anchor>
          </objectPr>
        </oleObject>
      </mc:Choice>
      <mc:Fallback>
        <oleObject progId="Equation.3" shapeId="9218" r:id="rId6"/>
      </mc:Fallback>
    </mc:AlternateContent>
    <mc:AlternateContent xmlns:mc="http://schemas.openxmlformats.org/markup-compatibility/2006">
      <mc:Choice Requires="x14">
        <oleObject progId="Equation.3" shapeId="9219" r:id="rId8">
          <objectPr defaultSize="0" autoPict="0" r:id="rId9">
            <anchor moveWithCells="1" sizeWithCells="1">
              <from>
                <xdr:col>1</xdr:col>
                <xdr:colOff>504825</xdr:colOff>
                <xdr:row>7</xdr:row>
                <xdr:rowOff>76200</xdr:rowOff>
              </from>
              <to>
                <xdr:col>2</xdr:col>
                <xdr:colOff>2809875</xdr:colOff>
                <xdr:row>7</xdr:row>
                <xdr:rowOff>647700</xdr:rowOff>
              </to>
            </anchor>
          </objectPr>
        </oleObject>
      </mc:Choice>
      <mc:Fallback>
        <oleObject progId="Equation.3" shapeId="9219" r:id="rId8"/>
      </mc:Fallback>
    </mc:AlternateContent>
    <mc:AlternateContent xmlns:mc="http://schemas.openxmlformats.org/markup-compatibility/2006">
      <mc:Choice Requires="x14">
        <oleObject progId="Equation.3" shapeId="9220" r:id="rId10">
          <objectPr defaultSize="0" autoPict="0" r:id="rId11">
            <anchor moveWithCells="1" sizeWithCells="1">
              <from>
                <xdr:col>1</xdr:col>
                <xdr:colOff>38100</xdr:colOff>
                <xdr:row>8</xdr:row>
                <xdr:rowOff>228600</xdr:rowOff>
              </from>
              <to>
                <xdr:col>2</xdr:col>
                <xdr:colOff>3133725</xdr:colOff>
                <xdr:row>8</xdr:row>
                <xdr:rowOff>466725</xdr:rowOff>
              </to>
            </anchor>
          </objectPr>
        </oleObject>
      </mc:Choice>
      <mc:Fallback>
        <oleObject progId="Equation.3" shapeId="9220" r:id="rId10"/>
      </mc:Fallback>
    </mc:AlternateContent>
    <mc:AlternateContent xmlns:mc="http://schemas.openxmlformats.org/markup-compatibility/2006">
      <mc:Choice Requires="x14">
        <oleObject progId="Equation.3" shapeId="9221" r:id="rId12">
          <objectPr defaultSize="0" autoPict="0" r:id="rId13">
            <anchor moveWithCells="1" sizeWithCells="1">
              <from>
                <xdr:col>1</xdr:col>
                <xdr:colOff>314325</xdr:colOff>
                <xdr:row>12</xdr:row>
                <xdr:rowOff>257175</xdr:rowOff>
              </from>
              <to>
                <xdr:col>2</xdr:col>
                <xdr:colOff>3143250</xdr:colOff>
                <xdr:row>12</xdr:row>
                <xdr:rowOff>647700</xdr:rowOff>
              </to>
            </anchor>
          </objectPr>
        </oleObject>
      </mc:Choice>
      <mc:Fallback>
        <oleObject progId="Equation.3" shapeId="9221" r:id="rId12"/>
      </mc:Fallback>
    </mc:AlternateContent>
    <mc:AlternateContent xmlns:mc="http://schemas.openxmlformats.org/markup-compatibility/2006">
      <mc:Choice Requires="x14">
        <oleObject progId="Equation.3" shapeId="9222" r:id="rId14">
          <objectPr defaultSize="0" autoPict="0" r:id="rId15">
            <anchor moveWithCells="1" sizeWithCells="1">
              <from>
                <xdr:col>1</xdr:col>
                <xdr:colOff>123825</xdr:colOff>
                <xdr:row>13</xdr:row>
                <xdr:rowOff>161925</xdr:rowOff>
              </from>
              <to>
                <xdr:col>2</xdr:col>
                <xdr:colOff>3076575</xdr:colOff>
                <xdr:row>13</xdr:row>
                <xdr:rowOff>504825</xdr:rowOff>
              </to>
            </anchor>
          </objectPr>
        </oleObject>
      </mc:Choice>
      <mc:Fallback>
        <oleObject progId="Equation.3" shapeId="9222" r:id="rId14"/>
      </mc:Fallback>
    </mc:AlternateContent>
    <mc:AlternateContent xmlns:mc="http://schemas.openxmlformats.org/markup-compatibility/2006">
      <mc:Choice Requires="x14">
        <oleObject progId="Equation.3" shapeId="9223" r:id="rId16">
          <objectPr defaultSize="0" autoPict="0" r:id="rId17">
            <anchor moveWithCells="1" sizeWithCells="1">
              <from>
                <xdr:col>1</xdr:col>
                <xdr:colOff>66675</xdr:colOff>
                <xdr:row>14</xdr:row>
                <xdr:rowOff>142875</xdr:rowOff>
              </from>
              <to>
                <xdr:col>2</xdr:col>
                <xdr:colOff>3076575</xdr:colOff>
                <xdr:row>14</xdr:row>
                <xdr:rowOff>542925</xdr:rowOff>
              </to>
            </anchor>
          </objectPr>
        </oleObject>
      </mc:Choice>
      <mc:Fallback>
        <oleObject progId="Equation.3" shapeId="9223" r:id="rId16"/>
      </mc:Fallback>
    </mc:AlternateContent>
    <mc:AlternateContent xmlns:mc="http://schemas.openxmlformats.org/markup-compatibility/2006">
      <mc:Choice Requires="x14">
        <oleObject progId="Equation.3" shapeId="9225" r:id="rId18">
          <objectPr defaultSize="0" autoPict="0" r:id="rId19">
            <anchor moveWithCells="1" sizeWithCells="1">
              <from>
                <xdr:col>1</xdr:col>
                <xdr:colOff>314325</xdr:colOff>
                <xdr:row>16</xdr:row>
                <xdr:rowOff>95250</xdr:rowOff>
              </from>
              <to>
                <xdr:col>2</xdr:col>
                <xdr:colOff>2533650</xdr:colOff>
                <xdr:row>16</xdr:row>
                <xdr:rowOff>600075</xdr:rowOff>
              </to>
            </anchor>
          </objectPr>
        </oleObject>
      </mc:Choice>
      <mc:Fallback>
        <oleObject progId="Equation.3" shapeId="9225" r:id="rId18"/>
      </mc:Fallback>
    </mc:AlternateContent>
    <mc:AlternateContent xmlns:mc="http://schemas.openxmlformats.org/markup-compatibility/2006">
      <mc:Choice Requires="x14">
        <oleObject progId="Equation.3" shapeId="9226" r:id="rId20">
          <objectPr defaultSize="0" autoPict="0" r:id="rId21">
            <anchor moveWithCells="1" sizeWithCells="1">
              <from>
                <xdr:col>1</xdr:col>
                <xdr:colOff>66675</xdr:colOff>
                <xdr:row>17</xdr:row>
                <xdr:rowOff>104775</xdr:rowOff>
              </from>
              <to>
                <xdr:col>2</xdr:col>
                <xdr:colOff>3076575</xdr:colOff>
                <xdr:row>17</xdr:row>
                <xdr:rowOff>581025</xdr:rowOff>
              </to>
            </anchor>
          </objectPr>
        </oleObject>
      </mc:Choice>
      <mc:Fallback>
        <oleObject progId="Equation.3" shapeId="9226" r:id="rId20"/>
      </mc:Fallback>
    </mc:AlternateContent>
    <mc:AlternateContent xmlns:mc="http://schemas.openxmlformats.org/markup-compatibility/2006">
      <mc:Choice Requires="x14">
        <oleObject progId="Equation.3" shapeId="9227" r:id="rId22">
          <objectPr defaultSize="0" autoPict="0" r:id="rId23">
            <anchor moveWithCells="1" sizeWithCells="1">
              <from>
                <xdr:col>1</xdr:col>
                <xdr:colOff>85725</xdr:colOff>
                <xdr:row>18</xdr:row>
                <xdr:rowOff>152400</xdr:rowOff>
              </from>
              <to>
                <xdr:col>2</xdr:col>
                <xdr:colOff>3028950</xdr:colOff>
                <xdr:row>18</xdr:row>
                <xdr:rowOff>590550</xdr:rowOff>
              </to>
            </anchor>
          </objectPr>
        </oleObject>
      </mc:Choice>
      <mc:Fallback>
        <oleObject progId="Equation.3" shapeId="9227" r:id="rId22"/>
      </mc:Fallback>
    </mc:AlternateContent>
    <mc:AlternateContent xmlns:mc="http://schemas.openxmlformats.org/markup-compatibility/2006">
      <mc:Choice Requires="x14">
        <oleObject progId="Equation.3" shapeId="9228" r:id="rId24">
          <objectPr defaultSize="0" autoPict="0" r:id="rId25">
            <anchor moveWithCells="1" sizeWithCells="1">
              <from>
                <xdr:col>1</xdr:col>
                <xdr:colOff>152400</xdr:colOff>
                <xdr:row>19</xdr:row>
                <xdr:rowOff>152400</xdr:rowOff>
              </from>
              <to>
                <xdr:col>2</xdr:col>
                <xdr:colOff>3048000</xdr:colOff>
                <xdr:row>19</xdr:row>
                <xdr:rowOff>552450</xdr:rowOff>
              </to>
            </anchor>
          </objectPr>
        </oleObject>
      </mc:Choice>
      <mc:Fallback>
        <oleObject progId="Equation.3" shapeId="9228" r:id="rId24"/>
      </mc:Fallback>
    </mc:AlternateContent>
    <mc:AlternateContent xmlns:mc="http://schemas.openxmlformats.org/markup-compatibility/2006">
      <mc:Choice Requires="x14">
        <oleObject progId="Equation.3" shapeId="9229" r:id="rId26">
          <objectPr defaultSize="0" autoPict="0" r:id="rId27">
            <anchor moveWithCells="1" sizeWithCells="1">
              <from>
                <xdr:col>1</xdr:col>
                <xdr:colOff>76200</xdr:colOff>
                <xdr:row>20</xdr:row>
                <xdr:rowOff>200025</xdr:rowOff>
              </from>
              <to>
                <xdr:col>2</xdr:col>
                <xdr:colOff>3143250</xdr:colOff>
                <xdr:row>20</xdr:row>
                <xdr:rowOff>552450</xdr:rowOff>
              </to>
            </anchor>
          </objectPr>
        </oleObject>
      </mc:Choice>
      <mc:Fallback>
        <oleObject progId="Equation.3" shapeId="9229" r:id="rId26"/>
      </mc:Fallback>
    </mc:AlternateContent>
    <mc:AlternateContent xmlns:mc="http://schemas.openxmlformats.org/markup-compatibility/2006">
      <mc:Choice Requires="x14">
        <oleObject progId="Equation.3" shapeId="9230" r:id="rId28">
          <objectPr defaultSize="0" autoPict="0" r:id="rId29">
            <anchor moveWithCells="1" sizeWithCells="1">
              <from>
                <xdr:col>1</xdr:col>
                <xdr:colOff>171450</xdr:colOff>
                <xdr:row>21</xdr:row>
                <xdr:rowOff>57150</xdr:rowOff>
              </from>
              <to>
                <xdr:col>2</xdr:col>
                <xdr:colOff>3057525</xdr:colOff>
                <xdr:row>21</xdr:row>
                <xdr:rowOff>628650</xdr:rowOff>
              </to>
            </anchor>
          </objectPr>
        </oleObject>
      </mc:Choice>
      <mc:Fallback>
        <oleObject progId="Equation.3" shapeId="9230" r:id="rId28"/>
      </mc:Fallback>
    </mc:AlternateContent>
    <mc:AlternateContent xmlns:mc="http://schemas.openxmlformats.org/markup-compatibility/2006">
      <mc:Choice Requires="x14">
        <oleObject progId="Equation.3" shapeId="9231" r:id="rId30">
          <objectPr defaultSize="0" autoPict="0" r:id="rId31">
            <anchor moveWithCells="1" sizeWithCells="1">
              <from>
                <xdr:col>1</xdr:col>
                <xdr:colOff>123825</xdr:colOff>
                <xdr:row>22</xdr:row>
                <xdr:rowOff>76200</xdr:rowOff>
              </from>
              <to>
                <xdr:col>2</xdr:col>
                <xdr:colOff>3076575</xdr:colOff>
                <xdr:row>22</xdr:row>
                <xdr:rowOff>647700</xdr:rowOff>
              </to>
            </anchor>
          </objectPr>
        </oleObject>
      </mc:Choice>
      <mc:Fallback>
        <oleObject progId="Equation.3" shapeId="9231" r:id="rId30"/>
      </mc:Fallback>
    </mc:AlternateContent>
    <mc:AlternateContent xmlns:mc="http://schemas.openxmlformats.org/markup-compatibility/2006">
      <mc:Choice Requires="x14">
        <oleObject progId="Equation.3" shapeId="9232" r:id="rId32">
          <objectPr defaultSize="0" autoPict="0" r:id="rId33">
            <anchor moveWithCells="1" sizeWithCells="1">
              <from>
                <xdr:col>1</xdr:col>
                <xdr:colOff>466725</xdr:colOff>
                <xdr:row>15</xdr:row>
                <xdr:rowOff>133350</xdr:rowOff>
              </from>
              <to>
                <xdr:col>2</xdr:col>
                <xdr:colOff>2895600</xdr:colOff>
                <xdr:row>15</xdr:row>
                <xdr:rowOff>657225</xdr:rowOff>
              </to>
            </anchor>
          </objectPr>
        </oleObject>
      </mc:Choice>
      <mc:Fallback>
        <oleObject progId="Equation.3" shapeId="9232" r:id="rId32"/>
      </mc:Fallback>
    </mc:AlternateContent>
    <mc:AlternateContent xmlns:mc="http://schemas.openxmlformats.org/markup-compatibility/2006">
      <mc:Choice Requires="x14">
        <oleObject progId="Equation.3" shapeId="9233" r:id="rId34">
          <objectPr defaultSize="0" autoPict="0" r:id="rId35">
            <anchor moveWithCells="1" sizeWithCells="1">
              <from>
                <xdr:col>1</xdr:col>
                <xdr:colOff>19050</xdr:colOff>
                <xdr:row>27</xdr:row>
                <xdr:rowOff>180975</xdr:rowOff>
              </from>
              <to>
                <xdr:col>2</xdr:col>
                <xdr:colOff>3143250</xdr:colOff>
                <xdr:row>27</xdr:row>
                <xdr:rowOff>647700</xdr:rowOff>
              </to>
            </anchor>
          </objectPr>
        </oleObject>
      </mc:Choice>
      <mc:Fallback>
        <oleObject progId="Equation.3" shapeId="9233" r:id="rId34"/>
      </mc:Fallback>
    </mc:AlternateContent>
    <mc:AlternateContent xmlns:mc="http://schemas.openxmlformats.org/markup-compatibility/2006">
      <mc:Choice Requires="x14">
        <oleObject progId="Equation.3" shapeId="9234" r:id="rId36">
          <objectPr defaultSize="0" autoPict="0" r:id="rId37">
            <anchor moveWithCells="1" sizeWithCells="1">
              <from>
                <xdr:col>1</xdr:col>
                <xdr:colOff>219075</xdr:colOff>
                <xdr:row>28</xdr:row>
                <xdr:rowOff>209550</xdr:rowOff>
              </from>
              <to>
                <xdr:col>2</xdr:col>
                <xdr:colOff>3124200</xdr:colOff>
                <xdr:row>28</xdr:row>
                <xdr:rowOff>733425</xdr:rowOff>
              </to>
            </anchor>
          </objectPr>
        </oleObject>
      </mc:Choice>
      <mc:Fallback>
        <oleObject progId="Equation.3" shapeId="9234" r:id="rId36"/>
      </mc:Fallback>
    </mc:AlternateContent>
    <mc:AlternateContent xmlns:mc="http://schemas.openxmlformats.org/markup-compatibility/2006">
      <mc:Choice Requires="x14">
        <oleObject progId="Equation.3" shapeId="9235" r:id="rId38">
          <objectPr defaultSize="0" autoPict="0" r:id="rId39">
            <anchor moveWithCells="1" sizeWithCells="1">
              <from>
                <xdr:col>1</xdr:col>
                <xdr:colOff>114300</xdr:colOff>
                <xdr:row>29</xdr:row>
                <xdr:rowOff>85725</xdr:rowOff>
              </from>
              <to>
                <xdr:col>2</xdr:col>
                <xdr:colOff>2981325</xdr:colOff>
                <xdr:row>29</xdr:row>
                <xdr:rowOff>590550</xdr:rowOff>
              </to>
            </anchor>
          </objectPr>
        </oleObject>
      </mc:Choice>
      <mc:Fallback>
        <oleObject progId="Equation.3" shapeId="9235" r:id="rId38"/>
      </mc:Fallback>
    </mc:AlternateContent>
    <mc:AlternateContent xmlns:mc="http://schemas.openxmlformats.org/markup-compatibility/2006">
      <mc:Choice Requires="x14">
        <oleObject progId="Equation.3" shapeId="9236" r:id="rId40">
          <objectPr defaultSize="0" autoPict="0" r:id="rId41">
            <anchor moveWithCells="1" sizeWithCells="1">
              <from>
                <xdr:col>1</xdr:col>
                <xdr:colOff>190500</xdr:colOff>
                <xdr:row>30</xdr:row>
                <xdr:rowOff>152400</xdr:rowOff>
              </from>
              <to>
                <xdr:col>2</xdr:col>
                <xdr:colOff>3086100</xdr:colOff>
                <xdr:row>30</xdr:row>
                <xdr:rowOff>552450</xdr:rowOff>
              </to>
            </anchor>
          </objectPr>
        </oleObject>
      </mc:Choice>
      <mc:Fallback>
        <oleObject progId="Equation.3" shapeId="9236" r:id="rId40"/>
      </mc:Fallback>
    </mc:AlternateContent>
    <mc:AlternateContent xmlns:mc="http://schemas.openxmlformats.org/markup-compatibility/2006">
      <mc:Choice Requires="x14">
        <oleObject progId="Equation.3" shapeId="9237" r:id="rId42">
          <objectPr defaultSize="0" autoPict="0" r:id="rId43">
            <anchor moveWithCells="1" sizeWithCells="1">
              <from>
                <xdr:col>1</xdr:col>
                <xdr:colOff>361950</xdr:colOff>
                <xdr:row>31</xdr:row>
                <xdr:rowOff>123825</xdr:rowOff>
              </from>
              <to>
                <xdr:col>2</xdr:col>
                <xdr:colOff>2895600</xdr:colOff>
                <xdr:row>31</xdr:row>
                <xdr:rowOff>581025</xdr:rowOff>
              </to>
            </anchor>
          </objectPr>
        </oleObject>
      </mc:Choice>
      <mc:Fallback>
        <oleObject progId="Equation.3" shapeId="9237" r:id="rId42"/>
      </mc:Fallback>
    </mc:AlternateContent>
    <mc:AlternateContent xmlns:mc="http://schemas.openxmlformats.org/markup-compatibility/2006">
      <mc:Choice Requires="x14">
        <oleObject progId="Equation.3" shapeId="9238" r:id="rId44">
          <objectPr defaultSize="0" autoPict="0" r:id="rId45">
            <anchor moveWithCells="1" sizeWithCells="1">
              <from>
                <xdr:col>1</xdr:col>
                <xdr:colOff>571500</xdr:colOff>
                <xdr:row>32</xdr:row>
                <xdr:rowOff>133350</xdr:rowOff>
              </from>
              <to>
                <xdr:col>2</xdr:col>
                <xdr:colOff>2886075</xdr:colOff>
                <xdr:row>32</xdr:row>
                <xdr:rowOff>514350</xdr:rowOff>
              </to>
            </anchor>
          </objectPr>
        </oleObject>
      </mc:Choice>
      <mc:Fallback>
        <oleObject progId="Equation.3" shapeId="9238" r:id="rId44"/>
      </mc:Fallback>
    </mc:AlternateContent>
    <mc:AlternateContent xmlns:mc="http://schemas.openxmlformats.org/markup-compatibility/2006">
      <mc:Choice Requires="x14">
        <oleObject progId="Equation.3" shapeId="9239" r:id="rId46">
          <objectPr defaultSize="0" autoPict="0" r:id="rId47">
            <anchor moveWithCells="1" sizeWithCells="1">
              <from>
                <xdr:col>1</xdr:col>
                <xdr:colOff>104775</xdr:colOff>
                <xdr:row>36</xdr:row>
                <xdr:rowOff>152400</xdr:rowOff>
              </from>
              <to>
                <xdr:col>2</xdr:col>
                <xdr:colOff>3133725</xdr:colOff>
                <xdr:row>36</xdr:row>
                <xdr:rowOff>704850</xdr:rowOff>
              </to>
            </anchor>
          </objectPr>
        </oleObject>
      </mc:Choice>
      <mc:Fallback>
        <oleObject progId="Equation.3" shapeId="9239" r:id="rId46"/>
      </mc:Fallback>
    </mc:AlternateContent>
    <mc:AlternateContent xmlns:mc="http://schemas.openxmlformats.org/markup-compatibility/2006">
      <mc:Choice Requires="x14">
        <oleObject progId="Equation.3" shapeId="9240" r:id="rId48">
          <objectPr defaultSize="0" autoPict="0" r:id="rId49">
            <anchor moveWithCells="1" sizeWithCells="1">
              <from>
                <xdr:col>1</xdr:col>
                <xdr:colOff>104775</xdr:colOff>
                <xdr:row>37</xdr:row>
                <xdr:rowOff>76200</xdr:rowOff>
              </from>
              <to>
                <xdr:col>2</xdr:col>
                <xdr:colOff>2981325</xdr:colOff>
                <xdr:row>37</xdr:row>
                <xdr:rowOff>609600</xdr:rowOff>
              </to>
            </anchor>
          </objectPr>
        </oleObject>
      </mc:Choice>
      <mc:Fallback>
        <oleObject progId="Equation.3" shapeId="9240" r:id="rId48"/>
      </mc:Fallback>
    </mc:AlternateContent>
    <mc:AlternateContent xmlns:mc="http://schemas.openxmlformats.org/markup-compatibility/2006">
      <mc:Choice Requires="x14">
        <oleObject progId="Equation.3" shapeId="9241" r:id="rId50">
          <objectPr defaultSize="0" autoPict="0" r:id="rId51">
            <anchor moveWithCells="1" sizeWithCells="1">
              <from>
                <xdr:col>1</xdr:col>
                <xdr:colOff>76200</xdr:colOff>
                <xdr:row>38</xdr:row>
                <xdr:rowOff>114300</xdr:rowOff>
              </from>
              <to>
                <xdr:col>2</xdr:col>
                <xdr:colOff>3105150</xdr:colOff>
                <xdr:row>38</xdr:row>
                <xdr:rowOff>657225</xdr:rowOff>
              </to>
            </anchor>
          </objectPr>
        </oleObject>
      </mc:Choice>
      <mc:Fallback>
        <oleObject progId="Equation.3" shapeId="9241" r:id="rId50"/>
      </mc:Fallback>
    </mc:AlternateContent>
    <mc:AlternateContent xmlns:mc="http://schemas.openxmlformats.org/markup-compatibility/2006">
      <mc:Choice Requires="x14">
        <oleObject progId="Equation.3" shapeId="9242" r:id="rId52">
          <objectPr defaultSize="0" autoPict="0" r:id="rId53">
            <anchor moveWithCells="1" sizeWithCells="1">
              <from>
                <xdr:col>1</xdr:col>
                <xdr:colOff>0</xdr:colOff>
                <xdr:row>42</xdr:row>
                <xdr:rowOff>133350</xdr:rowOff>
              </from>
              <to>
                <xdr:col>2</xdr:col>
                <xdr:colOff>3095625</xdr:colOff>
                <xdr:row>42</xdr:row>
                <xdr:rowOff>714375</xdr:rowOff>
              </to>
            </anchor>
          </objectPr>
        </oleObject>
      </mc:Choice>
      <mc:Fallback>
        <oleObject progId="Equation.3" shapeId="9242" r:id="rId52"/>
      </mc:Fallback>
    </mc:AlternateContent>
    <mc:AlternateContent xmlns:mc="http://schemas.openxmlformats.org/markup-compatibility/2006">
      <mc:Choice Requires="x14">
        <oleObject progId="Equation.3" shapeId="9243" r:id="rId54">
          <objectPr defaultSize="0" autoPict="0" r:id="rId55">
            <anchor moveWithCells="1" sizeWithCells="1">
              <from>
                <xdr:col>1</xdr:col>
                <xdr:colOff>57150</xdr:colOff>
                <xdr:row>43</xdr:row>
                <xdr:rowOff>123825</xdr:rowOff>
              </from>
              <to>
                <xdr:col>2</xdr:col>
                <xdr:colOff>3133725</xdr:colOff>
                <xdr:row>43</xdr:row>
                <xdr:rowOff>619125</xdr:rowOff>
              </to>
            </anchor>
          </objectPr>
        </oleObject>
      </mc:Choice>
      <mc:Fallback>
        <oleObject progId="Equation.3" shapeId="9243" r:id="rId54"/>
      </mc:Fallback>
    </mc:AlternateContent>
    <mc:AlternateContent xmlns:mc="http://schemas.openxmlformats.org/markup-compatibility/2006">
      <mc:Choice Requires="x14">
        <oleObject progId="Equation.3" shapeId="9244" r:id="rId56">
          <objectPr defaultSize="0" autoPict="0" r:id="rId57">
            <anchor moveWithCells="1" sizeWithCells="1">
              <from>
                <xdr:col>1</xdr:col>
                <xdr:colOff>247650</xdr:colOff>
                <xdr:row>44</xdr:row>
                <xdr:rowOff>190500</xdr:rowOff>
              </from>
              <to>
                <xdr:col>2</xdr:col>
                <xdr:colOff>3038475</xdr:colOff>
                <xdr:row>44</xdr:row>
                <xdr:rowOff>638175</xdr:rowOff>
              </to>
            </anchor>
          </objectPr>
        </oleObject>
      </mc:Choice>
      <mc:Fallback>
        <oleObject progId="Equation.3" shapeId="9244" r:id="rId56"/>
      </mc:Fallback>
    </mc:AlternateContent>
    <mc:AlternateContent xmlns:mc="http://schemas.openxmlformats.org/markup-compatibility/2006">
      <mc:Choice Requires="x14">
        <oleObject progId="Equation.3" shapeId="9245" r:id="rId58">
          <objectPr defaultSize="0" autoPict="0" r:id="rId59">
            <anchor moveWithCells="1" sizeWithCells="1">
              <from>
                <xdr:col>1</xdr:col>
                <xdr:colOff>76200</xdr:colOff>
                <xdr:row>45</xdr:row>
                <xdr:rowOff>171450</xdr:rowOff>
              </from>
              <to>
                <xdr:col>2</xdr:col>
                <xdr:colOff>2895600</xdr:colOff>
                <xdr:row>45</xdr:row>
                <xdr:rowOff>647700</xdr:rowOff>
              </to>
            </anchor>
          </objectPr>
        </oleObject>
      </mc:Choice>
      <mc:Fallback>
        <oleObject progId="Equation.3" shapeId="9245" r:id="rId58"/>
      </mc:Fallback>
    </mc:AlternateContent>
    <mc:AlternateContent xmlns:mc="http://schemas.openxmlformats.org/markup-compatibility/2006">
      <mc:Choice Requires="x14">
        <oleObject progId="Equation.3" shapeId="9246" r:id="rId60">
          <objectPr defaultSize="0" autoPict="0" r:id="rId61">
            <anchor moveWithCells="1" sizeWithCells="1">
              <from>
                <xdr:col>1</xdr:col>
                <xdr:colOff>352425</xdr:colOff>
                <xdr:row>46</xdr:row>
                <xdr:rowOff>104775</xdr:rowOff>
              </from>
              <to>
                <xdr:col>2</xdr:col>
                <xdr:colOff>2895600</xdr:colOff>
                <xdr:row>46</xdr:row>
                <xdr:rowOff>676275</xdr:rowOff>
              </to>
            </anchor>
          </objectPr>
        </oleObject>
      </mc:Choice>
      <mc:Fallback>
        <oleObject progId="Equation.3" shapeId="9246" r:id="rId6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Hoja1</vt:lpstr>
      <vt:lpstr>Hoja2</vt:lpstr>
      <vt:lpstr>Hoja3</vt:lpstr>
      <vt:lpstr>Hoja4</vt:lpstr>
      <vt:lpstr>Hoja5</vt:lpstr>
      <vt:lpstr>Hoja6</vt:lpstr>
      <vt:lpstr>Hoja7</vt:lpstr>
      <vt:lpstr>Hoja8</vt:lpstr>
      <vt:lpstr>Hoja9</vt:lpstr>
      <vt:lpstr>Hoja10</vt:lpstr>
      <vt:lpstr>Hoja11</vt:lpstr>
      <vt:lpstr>Hoja12</vt:lpstr>
      <vt:lpstr>Hoja13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lucia</dc:creator>
  <cp:lastModifiedBy>Martha lucia</cp:lastModifiedBy>
  <cp:lastPrinted>2012-10-14T09:18:41Z</cp:lastPrinted>
  <dcterms:created xsi:type="dcterms:W3CDTF">2012-10-13T14:41:19Z</dcterms:created>
  <dcterms:modified xsi:type="dcterms:W3CDTF">2012-11-16T03:24:29Z</dcterms:modified>
</cp:coreProperties>
</file>