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755" windowHeight="7995" activeTab="2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B45" i="3"/>
  <c r="D17"/>
  <c r="C17"/>
  <c r="D15"/>
  <c r="E15"/>
  <c r="F15"/>
  <c r="G15"/>
  <c r="C15"/>
  <c r="D28" i="1"/>
  <c r="E28"/>
  <c r="F28"/>
  <c r="G28"/>
  <c r="C28"/>
  <c r="D9" i="3"/>
  <c r="D12" s="1"/>
  <c r="H39"/>
  <c r="E27"/>
  <c r="B27"/>
  <c r="B19"/>
  <c r="H17"/>
  <c r="H16"/>
  <c r="H15"/>
  <c r="H14"/>
  <c r="H12"/>
  <c r="B8"/>
  <c r="B12" s="1"/>
  <c r="B20" s="1"/>
  <c r="C19" i="2"/>
  <c r="D16" i="3" s="1"/>
  <c r="D19" i="2"/>
  <c r="E16" i="3" s="1"/>
  <c r="E19" i="2"/>
  <c r="F16" i="3" s="1"/>
  <c r="F19" i="2"/>
  <c r="G16" i="3" s="1"/>
  <c r="B19" i="2"/>
  <c r="C16" i="3" s="1"/>
  <c r="C18" i="2"/>
  <c r="D18"/>
  <c r="E18"/>
  <c r="F18"/>
  <c r="B18"/>
  <c r="C17"/>
  <c r="D17"/>
  <c r="E17"/>
  <c r="E20" s="1"/>
  <c r="F17"/>
  <c r="B17"/>
  <c r="C16"/>
  <c r="D16"/>
  <c r="E16"/>
  <c r="F16"/>
  <c r="B16"/>
  <c r="C15"/>
  <c r="D15"/>
  <c r="E15"/>
  <c r="F15"/>
  <c r="B15"/>
  <c r="C14"/>
  <c r="D14"/>
  <c r="E14"/>
  <c r="F14"/>
  <c r="B14"/>
  <c r="C10"/>
  <c r="D10"/>
  <c r="E10"/>
  <c r="F10"/>
  <c r="B10"/>
  <c r="C9"/>
  <c r="D9"/>
  <c r="E9"/>
  <c r="F9"/>
  <c r="B9"/>
  <c r="C8"/>
  <c r="D8"/>
  <c r="E8"/>
  <c r="F8"/>
  <c r="B8"/>
  <c r="D6"/>
  <c r="E9" i="3" s="1"/>
  <c r="E12" s="1"/>
  <c r="C4" i="2"/>
  <c r="C6" s="1"/>
  <c r="D30" s="1"/>
  <c r="D4"/>
  <c r="E4"/>
  <c r="E6" s="1"/>
  <c r="H30" s="1"/>
  <c r="I30" s="1"/>
  <c r="F4"/>
  <c r="B3" s="1"/>
  <c r="C6" i="3" s="1"/>
  <c r="B4" i="2"/>
  <c r="B48" s="1"/>
  <c r="F30"/>
  <c r="D27" i="1"/>
  <c r="E27"/>
  <c r="F27"/>
  <c r="G27"/>
  <c r="C27"/>
  <c r="D25"/>
  <c r="E25"/>
  <c r="F25"/>
  <c r="G25"/>
  <c r="C25"/>
  <c r="D24"/>
  <c r="E24"/>
  <c r="F24"/>
  <c r="G24"/>
  <c r="C24"/>
  <c r="D15"/>
  <c r="D19" s="1"/>
  <c r="E15"/>
  <c r="F15"/>
  <c r="G15"/>
  <c r="G19" s="1"/>
  <c r="C15"/>
  <c r="D7"/>
  <c r="C7"/>
  <c r="D6"/>
  <c r="E6" s="1"/>
  <c r="F6" s="1"/>
  <c r="G6" s="1"/>
  <c r="E5"/>
  <c r="F5" s="1"/>
  <c r="G5" s="1"/>
  <c r="G7" s="1"/>
  <c r="D5"/>
  <c r="E19"/>
  <c r="F19"/>
  <c r="E11" i="2" l="1"/>
  <c r="E12" s="1"/>
  <c r="F11"/>
  <c r="B11"/>
  <c r="F20"/>
  <c r="F9" i="3"/>
  <c r="F12" s="1"/>
  <c r="D3" i="2"/>
  <c r="E6" i="3" s="1"/>
  <c r="G19"/>
  <c r="F19"/>
  <c r="H19"/>
  <c r="H20" s="1"/>
  <c r="D19"/>
  <c r="D20" s="1"/>
  <c r="D21" s="1"/>
  <c r="D39" s="1"/>
  <c r="F61" s="1"/>
  <c r="E19"/>
  <c r="E20" s="1"/>
  <c r="E21" s="1"/>
  <c r="E39" s="1"/>
  <c r="F62" s="1"/>
  <c r="C19"/>
  <c r="B21"/>
  <c r="B39" s="1"/>
  <c r="B26"/>
  <c r="E3" i="2"/>
  <c r="F6" i="3" s="1"/>
  <c r="F6" i="2"/>
  <c r="C3"/>
  <c r="D6" i="3" s="1"/>
  <c r="F3" i="2"/>
  <c r="G6" i="3" s="1"/>
  <c r="B6" i="2"/>
  <c r="D20"/>
  <c r="D21" s="1"/>
  <c r="B20"/>
  <c r="B21" s="1"/>
  <c r="C20"/>
  <c r="C21" s="1"/>
  <c r="D11"/>
  <c r="F31" s="1"/>
  <c r="G31" s="1"/>
  <c r="C11"/>
  <c r="D31" s="1"/>
  <c r="E31" s="1"/>
  <c r="E22"/>
  <c r="E23" s="1"/>
  <c r="E24" s="1"/>
  <c r="E25" s="1"/>
  <c r="E21"/>
  <c r="F21"/>
  <c r="G30"/>
  <c r="E30"/>
  <c r="B31"/>
  <c r="B12"/>
  <c r="F22"/>
  <c r="F23" s="1"/>
  <c r="J31"/>
  <c r="F12"/>
  <c r="C19" i="1"/>
  <c r="E7"/>
  <c r="F7"/>
  <c r="C31" i="2" l="1"/>
  <c r="B30"/>
  <c r="C9" i="3"/>
  <c r="C12" s="1"/>
  <c r="C20" s="1"/>
  <c r="C21" s="1"/>
  <c r="C39" s="1"/>
  <c r="H31" i="2"/>
  <c r="I31" s="1"/>
  <c r="G20" i="3"/>
  <c r="G21" s="1"/>
  <c r="G39" s="1"/>
  <c r="F64" s="1"/>
  <c r="J30" i="2"/>
  <c r="K30" s="1"/>
  <c r="G9" i="3"/>
  <c r="G12" s="1"/>
  <c r="F20"/>
  <c r="F21" s="1"/>
  <c r="F39" s="1"/>
  <c r="F63" s="1"/>
  <c r="C60"/>
  <c r="B28"/>
  <c r="C27" s="1"/>
  <c r="F27" s="1"/>
  <c r="K31" i="2"/>
  <c r="D22"/>
  <c r="D23" s="1"/>
  <c r="D24" s="1"/>
  <c r="D25" s="1"/>
  <c r="D48"/>
  <c r="D47"/>
  <c r="E47" s="1"/>
  <c r="B22"/>
  <c r="B23" s="1"/>
  <c r="B24" s="1"/>
  <c r="B25" s="1"/>
  <c r="D12"/>
  <c r="H32"/>
  <c r="D32"/>
  <c r="E32" s="1"/>
  <c r="D34" s="1"/>
  <c r="D36" s="1"/>
  <c r="C22"/>
  <c r="C23" s="1"/>
  <c r="C24" s="1"/>
  <c r="C25" s="1"/>
  <c r="C12"/>
  <c r="F32"/>
  <c r="F38" s="1"/>
  <c r="F40" s="1"/>
  <c r="B32"/>
  <c r="C32" s="1"/>
  <c r="B34" s="1"/>
  <c r="B36" s="1"/>
  <c r="F24"/>
  <c r="F25" s="1"/>
  <c r="D38"/>
  <c r="D40" s="1"/>
  <c r="H38"/>
  <c r="H40" s="1"/>
  <c r="I32"/>
  <c r="H34" s="1"/>
  <c r="H36" s="1"/>
  <c r="J32"/>
  <c r="F60" i="3" l="1"/>
  <c r="B44"/>
  <c r="C48" i="2"/>
  <c r="C30"/>
  <c r="G32"/>
  <c r="F34" s="1"/>
  <c r="F36" s="1"/>
  <c r="E103" i="3"/>
  <c r="E117"/>
  <c r="E90"/>
  <c r="E114"/>
  <c r="E134"/>
  <c r="E78"/>
  <c r="E101"/>
  <c r="E128"/>
  <c r="E71"/>
  <c r="E135"/>
  <c r="E85"/>
  <c r="E112"/>
  <c r="E87"/>
  <c r="E94"/>
  <c r="B42"/>
  <c r="D60" s="1"/>
  <c r="E60" s="1"/>
  <c r="G60" s="1"/>
  <c r="C61" s="1"/>
  <c r="E119"/>
  <c r="E69"/>
  <c r="E133"/>
  <c r="E80"/>
  <c r="E96"/>
  <c r="E99"/>
  <c r="E131"/>
  <c r="E106"/>
  <c r="E81"/>
  <c r="E113"/>
  <c r="E76"/>
  <c r="E108"/>
  <c r="E140"/>
  <c r="E74"/>
  <c r="E138"/>
  <c r="E79"/>
  <c r="E95"/>
  <c r="E111"/>
  <c r="E127"/>
  <c r="E143"/>
  <c r="E98"/>
  <c r="E126"/>
  <c r="E77"/>
  <c r="E93"/>
  <c r="E109"/>
  <c r="E125"/>
  <c r="E141"/>
  <c r="E110"/>
  <c r="E72"/>
  <c r="E88"/>
  <c r="E104"/>
  <c r="E120"/>
  <c r="E136"/>
  <c r="E82"/>
  <c r="E83"/>
  <c r="E115"/>
  <c r="E70"/>
  <c r="E142"/>
  <c r="E97"/>
  <c r="E129"/>
  <c r="E118"/>
  <c r="E92"/>
  <c r="E124"/>
  <c r="E130"/>
  <c r="E75"/>
  <c r="E91"/>
  <c r="E107"/>
  <c r="E123"/>
  <c r="E139"/>
  <c r="E86"/>
  <c r="E122"/>
  <c r="E73"/>
  <c r="E89"/>
  <c r="E105"/>
  <c r="E121"/>
  <c r="E137"/>
  <c r="E102"/>
  <c r="E68"/>
  <c r="E84"/>
  <c r="E100"/>
  <c r="E116"/>
  <c r="E132"/>
  <c r="C26"/>
  <c r="E48" i="2"/>
  <c r="B38"/>
  <c r="B40" s="1"/>
  <c r="J38"/>
  <c r="J40" s="1"/>
  <c r="K32"/>
  <c r="J34" s="1"/>
  <c r="J36" s="1"/>
  <c r="D61" i="3" l="1"/>
  <c r="E61" s="1"/>
  <c r="G61" s="1"/>
  <c r="C62" s="1"/>
  <c r="F26"/>
  <c r="F28" s="1"/>
  <c r="F30" s="1"/>
  <c r="C31" s="1"/>
  <c r="B40" s="1"/>
  <c r="C28"/>
  <c r="D62" l="1"/>
  <c r="E62" s="1"/>
  <c r="G62" s="1"/>
  <c r="C63" s="1"/>
  <c r="B50"/>
  <c r="B51" s="1"/>
  <c r="G54" s="1"/>
  <c r="B41"/>
  <c r="B47" s="1"/>
  <c r="B48" s="1"/>
  <c r="B54"/>
  <c r="D63" l="1"/>
  <c r="E63" s="1"/>
  <c r="G63" s="1"/>
  <c r="C64" s="1"/>
  <c r="B55"/>
  <c r="B46"/>
  <c r="D64" l="1"/>
  <c r="E64" s="1"/>
  <c r="G64" s="1"/>
</calcChain>
</file>

<file path=xl/sharedStrings.xml><?xml version="1.0" encoding="utf-8"?>
<sst xmlns="http://schemas.openxmlformats.org/spreadsheetml/2006/main" count="170" uniqueCount="131">
  <si>
    <t>COSTOS DE OPERACIÓN Y DE FINANCIACIÓN</t>
  </si>
  <si>
    <t xml:space="preserve">Fase </t>
  </si>
  <si>
    <t>Inversión</t>
  </si>
  <si>
    <t>Operacional</t>
  </si>
  <si>
    <t>Año</t>
  </si>
  <si>
    <t>Nivel de producción</t>
  </si>
  <si>
    <t>Materiales e insumos</t>
  </si>
  <si>
    <t>Mano de obra directa</t>
  </si>
  <si>
    <t>Gastos generales de fabricación</t>
  </si>
  <si>
    <t>Depreciación</t>
  </si>
  <si>
    <t xml:space="preserve"> 1. COSTOS DE PRODUCCIÓN</t>
  </si>
  <si>
    <t>Gastos generales de administración</t>
  </si>
  <si>
    <t>Gastos generales de ventas</t>
  </si>
  <si>
    <t>Gastos generales de distribución</t>
  </si>
  <si>
    <t>Amortización de diferidos</t>
  </si>
  <si>
    <t xml:space="preserve"> 2. GASTOS OPERATIVOS</t>
  </si>
  <si>
    <t>COSTOS DE OPERACIÓN (1+2)</t>
  </si>
  <si>
    <t>COSTOS DE FINANCIACIÓN (Intereses)</t>
  </si>
  <si>
    <t>TOTAL COSTOS DE OPERACIÓN Y DE FINANCIACIÓN</t>
  </si>
  <si>
    <t>NUMERO DE UNIDADES PRODUCIDAS</t>
  </si>
  <si>
    <t>COSTO UNITARIO DE MATERIA PRIMA</t>
  </si>
  <si>
    <t>TOTAL MATERIA PRIMA</t>
  </si>
  <si>
    <t>CALCULO DE COSTOS FIJOS Y COSTOS VARIABLES</t>
  </si>
  <si>
    <t>CUENTAS</t>
  </si>
  <si>
    <t xml:space="preserve">A Ñ O 2 </t>
  </si>
  <si>
    <t>AÑO 3</t>
  </si>
  <si>
    <t>AÑO 4</t>
  </si>
  <si>
    <t>AÑO 5</t>
  </si>
  <si>
    <t>AÑO 6</t>
  </si>
  <si>
    <t>NIVEL DE PRODUCCIÓN</t>
  </si>
  <si>
    <t>UNIDADES PRODUCIDAS</t>
  </si>
  <si>
    <t>PRECIO DE VENTA</t>
  </si>
  <si>
    <t xml:space="preserve">INGRESOS POR VENTAS </t>
  </si>
  <si>
    <t>COSTOS VARIABLES</t>
  </si>
  <si>
    <t>TOTAL COSTOS VARIABLES</t>
  </si>
  <si>
    <t>COSTO VARIABLE POR UNIDAD</t>
  </si>
  <si>
    <t>GASTOS FIJOS</t>
  </si>
  <si>
    <t>Gastos generales de administración.</t>
  </si>
  <si>
    <t>Gastos generales en ventas</t>
  </si>
  <si>
    <t>Costos de financiación (intereses)</t>
  </si>
  <si>
    <t>TOTAL COSTOS FIJOS</t>
  </si>
  <si>
    <t>COSTO FIJO POR UNIDAD</t>
  </si>
  <si>
    <t xml:space="preserve">TOTAL COSTOS </t>
  </si>
  <si>
    <t>COSTO UNITARIO</t>
  </si>
  <si>
    <t>UTILIDAD UNITARIA</t>
  </si>
  <si>
    <t>PORCENTAJE DE UTILIDAD UNITARIA</t>
  </si>
  <si>
    <t>CALCULO DEL PUNTO DE EQUILIBRIO</t>
  </si>
  <si>
    <t>AÑO 2</t>
  </si>
  <si>
    <t>AÑLO 3</t>
  </si>
  <si>
    <t xml:space="preserve">VALORES </t>
  </si>
  <si>
    <t>%</t>
  </si>
  <si>
    <t>VENTAS</t>
  </si>
  <si>
    <t>Menos: Costos Variables</t>
  </si>
  <si>
    <t>Igual margen de contribución</t>
  </si>
  <si>
    <t>PUNTO DE EQUIL. EN $</t>
  </si>
  <si>
    <t>PUNTO DE EQUIL.EN UNID.</t>
  </si>
  <si>
    <t>MARGEN DE C.UNITARIA</t>
  </si>
  <si>
    <t>PUNTO DE E. UNIDADES</t>
  </si>
  <si>
    <t>PUNTOS DE LA GRAFICA AÑO 1</t>
  </si>
  <si>
    <t>UNIDADES</t>
  </si>
  <si>
    <t>C. FIJOS</t>
  </si>
  <si>
    <t>C.TOTALES</t>
  </si>
  <si>
    <t>Cuadro 13.2</t>
  </si>
  <si>
    <t>FLUJO DE EFECTIVO NETO</t>
  </si>
  <si>
    <t>Valor remanente en el último año</t>
  </si>
  <si>
    <t>ENTRADAS DE EFECTIVO</t>
  </si>
  <si>
    <t xml:space="preserve">     Préstamos</t>
  </si>
  <si>
    <t xml:space="preserve">     Ingreso por concepto de ventas</t>
  </si>
  <si>
    <t xml:space="preserve">     Otros ingresos</t>
  </si>
  <si>
    <t xml:space="preserve">     Valor remanente en el último año</t>
  </si>
  <si>
    <t>TOTAL ENTRADAS DE EFECTIVO</t>
  </si>
  <si>
    <t>SALIDAS DE EFECTIVO</t>
  </si>
  <si>
    <t xml:space="preserve">     Inversiones totales</t>
  </si>
  <si>
    <t xml:space="preserve">     Costos de operación, netos de depreciación y amortización de diferidos</t>
  </si>
  <si>
    <t xml:space="preserve">     Costos de financiación</t>
  </si>
  <si>
    <t xml:space="preserve">     Pago préstamos</t>
  </si>
  <si>
    <t xml:space="preserve">     Impuestos</t>
  </si>
  <si>
    <t>TOTAL SALIDAS DE EFECTIVO</t>
  </si>
  <si>
    <t>ENTRADAS MENOS SALIDAS</t>
  </si>
  <si>
    <t>CALCULO DE LA TIO - COSTO DE CAPITAL</t>
  </si>
  <si>
    <t>FUENTES DE FINANCIACIÓN</t>
  </si>
  <si>
    <t>VALORES</t>
  </si>
  <si>
    <t xml:space="preserve">PROPORCIONES </t>
  </si>
  <si>
    <t>TASAS DE INTERÉS</t>
  </si>
  <si>
    <t>Tasa se interés efectiva</t>
  </si>
  <si>
    <t>TASAS PONDERADAS</t>
  </si>
  <si>
    <t>Aporte de los socios</t>
  </si>
  <si>
    <t>Crédito bancario</t>
  </si>
  <si>
    <t>Total inversión</t>
  </si>
  <si>
    <t>TOTAL</t>
  </si>
  <si>
    <t>RIESGO</t>
  </si>
  <si>
    <t>TREMA</t>
  </si>
  <si>
    <t>TASA DE INTERES DE OPORTUNIDAD DEFLACTADA</t>
  </si>
  <si>
    <t>INDICADORES DE RENTABILIDAD FLUJO DE FONDOS CON FINANCIACIÓN</t>
  </si>
  <si>
    <t>FLUJO DE FONDOS NETO</t>
  </si>
  <si>
    <t>TIO</t>
  </si>
  <si>
    <t>Valor presente neto (VPN)</t>
  </si>
  <si>
    <t>Tasa interna de retorno (TIR)</t>
  </si>
  <si>
    <t>RELACIÓN BENEFICIO COSTO</t>
  </si>
  <si>
    <t>Valor presente de ingresos</t>
  </si>
  <si>
    <t>Valor presente de egresos</t>
  </si>
  <si>
    <t>(B/C)-1</t>
  </si>
  <si>
    <t xml:space="preserve">Costo anual equivalente </t>
  </si>
  <si>
    <t>Valor futuro VF</t>
  </si>
  <si>
    <t>TASA VERDADERA DE RENTABILIDAD</t>
  </si>
  <si>
    <t>Costo anual equivalente de los ingresos</t>
  </si>
  <si>
    <r>
      <t>Valor futuro de ingresos  VF</t>
    </r>
    <r>
      <rPr>
        <vertAlign val="subscript"/>
        <sz val="12"/>
        <rFont val="Arial"/>
        <family val="2"/>
      </rPr>
      <t>i</t>
    </r>
  </si>
  <si>
    <t>Nuevo flujo de fondos</t>
  </si>
  <si>
    <t>Año 0</t>
  </si>
  <si>
    <t>Año 1</t>
  </si>
  <si>
    <t>Año 2</t>
  </si>
  <si>
    <t>Año 3</t>
  </si>
  <si>
    <t>Año 4</t>
  </si>
  <si>
    <t>Año 5</t>
  </si>
  <si>
    <t>TUR</t>
  </si>
  <si>
    <t>Períodos</t>
  </si>
  <si>
    <t>Saldo al incio del período</t>
  </si>
  <si>
    <t>Rentabilidad ganada durante el período</t>
  </si>
  <si>
    <t>Saldo inicial más rentabilidad</t>
  </si>
  <si>
    <t>Retiro al final del período</t>
  </si>
  <si>
    <t>Saldo al final del período</t>
  </si>
  <si>
    <t xml:space="preserve">  0  - 1</t>
  </si>
  <si>
    <t xml:space="preserve">  1  - 2</t>
  </si>
  <si>
    <t xml:space="preserve">  2  - 3</t>
  </si>
  <si>
    <t xml:space="preserve">  3  - 4</t>
  </si>
  <si>
    <t xml:space="preserve">  4  - 5</t>
  </si>
  <si>
    <t>GRAFICA DE LA TIR</t>
  </si>
  <si>
    <t>INTERES</t>
  </si>
  <si>
    <t>VPN</t>
  </si>
  <si>
    <t>COSTOS DE PRODUCCIÓN NETOS DE DEPRECIACIÓN, AMORTIZACIÓN Y COSTOS FINANCIEROS</t>
  </si>
  <si>
    <t>SIGNIFICADO DE LA TASA INTERNA DE RETORNO</t>
  </si>
</sst>
</file>

<file path=xl/styles.xml><?xml version="1.0" encoding="utf-8"?>
<styleSheet xmlns="http://schemas.openxmlformats.org/spreadsheetml/2006/main">
  <numFmts count="7">
    <numFmt numFmtId="6" formatCode="&quot;$&quot;\ #,##0_);[Red]\(&quot;$&quot;\ #,##0\)"/>
    <numFmt numFmtId="8" formatCode="&quot;$&quot;\ #,##0.00_);[Red]\(&quot;$&quot;\ #,##0.00\)"/>
    <numFmt numFmtId="164" formatCode="_ * #,##0_ ;_ * \-#,##0_ ;_ * &quot;-&quot;??_ ;_ @_ "/>
    <numFmt numFmtId="165" formatCode="#,##0.000"/>
    <numFmt numFmtId="166" formatCode="0.000%"/>
    <numFmt numFmtId="167" formatCode="0.0000%"/>
    <numFmt numFmtId="168" formatCode="#,##0_ ;[Red]\-#,##0\ "/>
  </numFmts>
  <fonts count="18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rgb="FFFF0000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vertAlign val="subscript"/>
      <sz val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218817712943"/>
        </stop>
      </gradient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2" xfId="0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9" fontId="0" fillId="0" borderId="1" xfId="0" applyNumberFormat="1" applyBorder="1"/>
    <xf numFmtId="0" fontId="0" fillId="0" borderId="0" xfId="0" applyFill="1" applyBorder="1"/>
    <xf numFmtId="3" fontId="0" fillId="0" borderId="0" xfId="0" applyNumberFormat="1"/>
    <xf numFmtId="0" fontId="0" fillId="0" borderId="2" xfId="0" applyBorder="1"/>
    <xf numFmtId="3" fontId="0" fillId="0" borderId="2" xfId="0" applyNumberFormat="1" applyBorder="1"/>
    <xf numFmtId="164" fontId="0" fillId="0" borderId="2" xfId="0" applyNumberFormat="1" applyBorder="1"/>
    <xf numFmtId="0" fontId="0" fillId="0" borderId="2" xfId="0" applyFill="1" applyBorder="1" applyAlignment="1">
      <alignment horizontal="left" vertical="center" wrapText="1"/>
    </xf>
    <xf numFmtId="9" fontId="0" fillId="0" borderId="2" xfId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/>
    <xf numFmtId="3" fontId="0" fillId="0" borderId="3" xfId="0" applyNumberFormat="1" applyBorder="1"/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/>
    <xf numFmtId="0" fontId="0" fillId="0" borderId="0" xfId="0" applyBorder="1"/>
    <xf numFmtId="3" fontId="0" fillId="0" borderId="0" xfId="0" applyNumberForma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3" fontId="2" fillId="0" borderId="1" xfId="0" applyNumberFormat="1" applyFont="1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vertical="center" wrapText="1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9" fontId="0" fillId="0" borderId="0" xfId="0" applyNumberFormat="1" applyFill="1" applyBorder="1"/>
    <xf numFmtId="3" fontId="0" fillId="0" borderId="0" xfId="0" applyNumberFormat="1" applyFill="1" applyBorder="1"/>
    <xf numFmtId="0" fontId="8" fillId="0" borderId="0" xfId="0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9" fillId="2" borderId="0" xfId="0" applyFont="1" applyFill="1" applyBorder="1"/>
    <xf numFmtId="4" fontId="0" fillId="2" borderId="0" xfId="0" applyNumberFormat="1" applyFill="1" applyBorder="1"/>
    <xf numFmtId="4" fontId="0" fillId="0" borderId="0" xfId="0" applyNumberFormat="1" applyFill="1" applyBorder="1"/>
    <xf numFmtId="0" fontId="7" fillId="0" borderId="0" xfId="0" applyFont="1" applyBorder="1"/>
    <xf numFmtId="0" fontId="4" fillId="0" borderId="2" xfId="0" applyFont="1" applyBorder="1"/>
    <xf numFmtId="3" fontId="4" fillId="0" borderId="2" xfId="0" applyNumberFormat="1" applyFont="1" applyBorder="1"/>
    <xf numFmtId="4" fontId="4" fillId="0" borderId="0" xfId="0" applyNumberFormat="1" applyFont="1" applyFill="1" applyBorder="1"/>
    <xf numFmtId="0" fontId="10" fillId="0" borderId="2" xfId="0" applyFont="1" applyBorder="1"/>
    <xf numFmtId="3" fontId="10" fillId="0" borderId="2" xfId="0" applyNumberFormat="1" applyFont="1" applyBorder="1"/>
    <xf numFmtId="165" fontId="10" fillId="0" borderId="0" xfId="0" applyNumberFormat="1" applyFont="1" applyFill="1" applyBorder="1"/>
    <xf numFmtId="4" fontId="10" fillId="0" borderId="2" xfId="0" applyNumberFormat="1" applyFont="1" applyBorder="1"/>
    <xf numFmtId="4" fontId="10" fillId="0" borderId="0" xfId="0" applyNumberFormat="1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4" fontId="2" fillId="0" borderId="0" xfId="0" applyNumberFormat="1" applyFont="1" applyFill="1" applyBorder="1"/>
    <xf numFmtId="0" fontId="4" fillId="0" borderId="2" xfId="0" applyFont="1" applyFill="1" applyBorder="1"/>
    <xf numFmtId="4" fontId="4" fillId="0" borderId="2" xfId="0" applyNumberFormat="1" applyFont="1" applyBorder="1"/>
    <xf numFmtId="0" fontId="0" fillId="0" borderId="0" xfId="0" applyFont="1" applyFill="1" applyBorder="1"/>
    <xf numFmtId="4" fontId="0" fillId="0" borderId="0" xfId="0" applyNumberFormat="1" applyBorder="1"/>
    <xf numFmtId="0" fontId="0" fillId="0" borderId="1" xfId="0" applyFont="1" applyFill="1" applyBorder="1"/>
    <xf numFmtId="10" fontId="0" fillId="0" borderId="1" xfId="1" applyNumberFormat="1" applyFont="1" applyBorder="1"/>
    <xf numFmtId="10" fontId="0" fillId="0" borderId="0" xfId="1" applyNumberFormat="1" applyFont="1" applyFill="1" applyBorder="1"/>
    <xf numFmtId="4" fontId="0" fillId="0" borderId="0" xfId="0" applyNumberFormat="1"/>
    <xf numFmtId="0" fontId="0" fillId="0" borderId="4" xfId="0" applyBorder="1" applyAlignment="1">
      <alignment horizontal="centerContinuous" vertical="center" wrapText="1"/>
    </xf>
    <xf numFmtId="3" fontId="0" fillId="2" borderId="5" xfId="0" quotePrefix="1" applyNumberFormat="1" applyFill="1" applyBorder="1" applyAlignment="1">
      <alignment horizontal="center"/>
    </xf>
    <xf numFmtId="3" fontId="0" fillId="2" borderId="6" xfId="0" quotePrefix="1" applyNumberFormat="1" applyFill="1" applyBorder="1" applyAlignment="1">
      <alignment horizontal="center"/>
    </xf>
    <xf numFmtId="3" fontId="0" fillId="0" borderId="5" xfId="0" quotePrefix="1" applyNumberFormat="1" applyBorder="1" applyAlignment="1">
      <alignment horizontal="center"/>
    </xf>
    <xf numFmtId="3" fontId="0" fillId="0" borderId="6" xfId="0" quotePrefix="1" applyNumberFormat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166" fontId="0" fillId="0" borderId="4" xfId="1" applyNumberFormat="1" applyFont="1" applyBorder="1"/>
    <xf numFmtId="4" fontId="0" fillId="0" borderId="4" xfId="1" applyNumberFormat="1" applyFont="1" applyBorder="1"/>
    <xf numFmtId="10" fontId="0" fillId="0" borderId="4" xfId="1" applyNumberFormat="1" applyFont="1" applyBorder="1"/>
    <xf numFmtId="167" fontId="0" fillId="0" borderId="4" xfId="1" applyNumberFormat="1" applyFont="1" applyBorder="1"/>
    <xf numFmtId="10" fontId="0" fillId="0" borderId="0" xfId="1" applyNumberFormat="1" applyFont="1" applyBorder="1"/>
    <xf numFmtId="3" fontId="0" fillId="0" borderId="4" xfId="0" applyNumberFormat="1" applyBorder="1"/>
    <xf numFmtId="165" fontId="0" fillId="0" borderId="4" xfId="0" applyNumberFormat="1" applyBorder="1"/>
    <xf numFmtId="166" fontId="0" fillId="0" borderId="0" xfId="1" applyNumberFormat="1" applyFont="1"/>
    <xf numFmtId="3" fontId="0" fillId="0" borderId="0" xfId="1" applyNumberFormat="1" applyFont="1"/>
    <xf numFmtId="3" fontId="12" fillId="0" borderId="1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/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0" xfId="0" applyNumberFormat="1" applyBorder="1"/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 applyBorder="1"/>
    <xf numFmtId="3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8" fontId="0" fillId="0" borderId="0" xfId="0" applyNumberFormat="1" applyBorder="1"/>
    <xf numFmtId="0" fontId="14" fillId="0" borderId="1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3" fontId="13" fillId="0" borderId="2" xfId="0" applyNumberFormat="1" applyFont="1" applyBorder="1" applyAlignment="1">
      <alignment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0" fontId="0" fillId="0" borderId="0" xfId="0" applyNumberFormat="1" applyBorder="1"/>
    <xf numFmtId="9" fontId="0" fillId="0" borderId="0" xfId="1" applyFont="1" applyBorder="1"/>
    <xf numFmtId="0" fontId="11" fillId="0" borderId="0" xfId="0" applyFont="1" applyBorder="1"/>
    <xf numFmtId="9" fontId="0" fillId="0" borderId="1" xfId="1" applyFont="1" applyBorder="1"/>
    <xf numFmtId="0" fontId="11" fillId="0" borderId="2" xfId="0" applyFont="1" applyBorder="1"/>
    <xf numFmtId="4" fontId="0" fillId="0" borderId="2" xfId="0" applyNumberFormat="1" applyBorder="1"/>
    <xf numFmtId="10" fontId="0" fillId="0" borderId="2" xfId="0" applyNumberFormat="1" applyBorder="1"/>
    <xf numFmtId="10" fontId="0" fillId="0" borderId="1" xfId="0" applyNumberFormat="1" applyBorder="1"/>
    <xf numFmtId="10" fontId="0" fillId="0" borderId="0" xfId="1" applyNumberFormat="1" applyFont="1"/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Fill="1" applyBorder="1"/>
    <xf numFmtId="0" fontId="15" fillId="0" borderId="0" xfId="0" applyFont="1" applyFill="1" applyBorder="1"/>
    <xf numFmtId="168" fontId="0" fillId="3" borderId="0" xfId="0" applyNumberFormat="1" applyFill="1" applyBorder="1"/>
    <xf numFmtId="168" fontId="0" fillId="0" borderId="0" xfId="0" applyNumberFormat="1" applyBorder="1"/>
    <xf numFmtId="6" fontId="0" fillId="0" borderId="0" xfId="0" applyNumberFormat="1" applyBorder="1"/>
    <xf numFmtId="0" fontId="11" fillId="0" borderId="0" xfId="0" applyFont="1" applyFill="1" applyBorder="1" applyAlignment="1"/>
    <xf numFmtId="0" fontId="15" fillId="0" borderId="0" xfId="0" applyFont="1" applyBorder="1" applyAlignment="1">
      <alignment horizontal="left"/>
    </xf>
    <xf numFmtId="0" fontId="15" fillId="0" borderId="2" xfId="0" applyFont="1" applyBorder="1"/>
    <xf numFmtId="168" fontId="0" fillId="3" borderId="2" xfId="0" applyNumberFormat="1" applyFill="1" applyBorder="1"/>
    <xf numFmtId="0" fontId="7" fillId="0" borderId="2" xfId="0" applyFont="1" applyBorder="1"/>
    <xf numFmtId="9" fontId="7" fillId="0" borderId="2" xfId="0" applyNumberFormat="1" applyFont="1" applyBorder="1"/>
    <xf numFmtId="0" fontId="11" fillId="0" borderId="2" xfId="0" applyFont="1" applyFill="1" applyBorder="1"/>
    <xf numFmtId="3" fontId="11" fillId="0" borderId="2" xfId="0" applyNumberFormat="1" applyFont="1" applyBorder="1"/>
    <xf numFmtId="0" fontId="17" fillId="0" borderId="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9" fontId="0" fillId="0" borderId="0" xfId="0" applyNumberFormat="1"/>
    <xf numFmtId="2" fontId="0" fillId="0" borderId="0" xfId="0" applyNumberFormat="1"/>
    <xf numFmtId="0" fontId="2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Hoja3!$E$67</c:f>
              <c:strCache>
                <c:ptCount val="1"/>
                <c:pt idx="0">
                  <c:v>VPN</c:v>
                </c:pt>
              </c:strCache>
            </c:strRef>
          </c:tx>
          <c:marker>
            <c:symbol val="none"/>
          </c:marker>
          <c:val>
            <c:numRef>
              <c:f>Hoja3!$E$68:$E$143</c:f>
              <c:numCache>
                <c:formatCode>0.00</c:formatCode>
                <c:ptCount val="76"/>
                <c:pt idx="0">
                  <c:v>15451750.503256336</c:v>
                </c:pt>
                <c:pt idx="1">
                  <c:v>14687321.20776036</c:v>
                </c:pt>
                <c:pt idx="2">
                  <c:v>13961316.211972184</c:v>
                </c:pt>
                <c:pt idx="3">
                  <c:v>13271384.889477536</c:v>
                </c:pt>
                <c:pt idx="4">
                  <c:v>12615343.767253321</c:v>
                </c:pt>
                <c:pt idx="5">
                  <c:v>11991163.070507262</c:v>
                </c:pt>
                <c:pt idx="6">
                  <c:v>11396954.471833419</c:v>
                </c:pt>
                <c:pt idx="7">
                  <c:v>10830959.926388029</c:v>
                </c:pt>
                <c:pt idx="8">
                  <c:v>10291541.487413161</c:v>
                </c:pt>
                <c:pt idx="9">
                  <c:v>9777172.0076071154</c:v>
                </c:pt>
                <c:pt idx="10">
                  <c:v>9286426.6417391617</c:v>
                </c:pt>
                <c:pt idx="11">
                  <c:v>8817975.0746877566</c:v>
                </c:pt>
                <c:pt idx="12">
                  <c:v>8370574.4068798702</c:v>
                </c:pt>
                <c:pt idx="13">
                  <c:v>7943062.63604334</c:v>
                </c:pt>
                <c:pt idx="14">
                  <c:v>7534352.6803558599</c:v>
                </c:pt>
                <c:pt idx="15">
                  <c:v>7143426.8935740869</c:v>
                </c:pt>
                <c:pt idx="16">
                  <c:v>6769332.0276313405</c:v>
                </c:pt>
                <c:pt idx="17">
                  <c:v>6411174.6025734842</c:v>
                </c:pt>
                <c:pt idx="18">
                  <c:v>6068116.6476172097</c:v>
                </c:pt>
                <c:pt idx="19">
                  <c:v>5739371.7806186564</c:v>
                </c:pt>
                <c:pt idx="20">
                  <c:v>5424201.596377667</c:v>
                </c:pt>
                <c:pt idx="21">
                  <c:v>5121912.3370159436</c:v>
                </c:pt>
                <c:pt idx="22">
                  <c:v>4831851.8201914765</c:v>
                </c:pt>
                <c:pt idx="23">
                  <c:v>4553406.6031787675</c:v>
                </c:pt>
                <c:pt idx="24">
                  <c:v>4285999.3628826942</c:v>
                </c:pt>
                <c:pt idx="25">
                  <c:v>4029086.4736879431</c:v>
                </c:pt>
                <c:pt idx="26">
                  <c:v>3782155.7666978277</c:v>
                </c:pt>
                <c:pt idx="27">
                  <c:v>3544724.4554054141</c:v>
                </c:pt>
                <c:pt idx="28">
                  <c:v>3316337.2141833808</c:v>
                </c:pt>
                <c:pt idx="29">
                  <c:v>3096564.3971921541</c:v>
                </c:pt>
                <c:pt idx="30">
                  <c:v>2885000.3864022456</c:v>
                </c:pt>
                <c:pt idx="31">
                  <c:v>2681262.0584184034</c:v>
                </c:pt>
                <c:pt idx="32">
                  <c:v>2484987.3606908442</c:v>
                </c:pt>
                <c:pt idx="33">
                  <c:v>2295833.9885120522</c:v>
                </c:pt>
                <c:pt idx="34">
                  <c:v>2113478.1549350172</c:v>
                </c:pt>
                <c:pt idx="35">
                  <c:v>1937613.4464177405</c:v>
                </c:pt>
                <c:pt idx="36">
                  <c:v>1767949.7576063955</c:v>
                </c:pt>
                <c:pt idx="37">
                  <c:v>1604212.2992215473</c:v>
                </c:pt>
                <c:pt idx="38">
                  <c:v>1446140.6735139731</c:v>
                </c:pt>
                <c:pt idx="39">
                  <c:v>1293488.0122133102</c:v>
                </c:pt>
                <c:pt idx="40">
                  <c:v>1146020.1723091938</c:v>
                </c:pt>
                <c:pt idx="41">
                  <c:v>1003514.9853833588</c:v>
                </c:pt>
                <c:pt idx="42">
                  <c:v>865761.55655746255</c:v>
                </c:pt>
                <c:pt idx="43">
                  <c:v>732559.60943662189</c:v>
                </c:pt>
                <c:pt idx="44">
                  <c:v>603718.87371718604</c:v>
                </c:pt>
                <c:pt idx="45">
                  <c:v>479058.51239055954</c:v>
                </c:pt>
                <c:pt idx="46">
                  <c:v>358406.58571577165</c:v>
                </c:pt>
                <c:pt idx="47">
                  <c:v>241599.54935394973</c:v>
                </c:pt>
                <c:pt idx="48">
                  <c:v>128481.78425966017</c:v>
                </c:pt>
                <c:pt idx="49">
                  <c:v>18905.156108980998</c:v>
                </c:pt>
                <c:pt idx="50">
                  <c:v>-87271.397786292247</c:v>
                </c:pt>
                <c:pt idx="51">
                  <c:v>-190182.2559733931</c:v>
                </c:pt>
                <c:pt idx="52">
                  <c:v>-289955.4765146235</c:v>
                </c:pt>
                <c:pt idx="53">
                  <c:v>-386713.13842593506</c:v>
                </c:pt>
                <c:pt idx="54">
                  <c:v>-480571.66239878722</c:v>
                </c:pt>
                <c:pt idx="55">
                  <c:v>-571642.11219527759</c:v>
                </c:pt>
                <c:pt idx="56">
                  <c:v>-660030.47800454684</c:v>
                </c:pt>
                <c:pt idx="57">
                  <c:v>-745837.94295468926</c:v>
                </c:pt>
                <c:pt idx="58">
                  <c:v>-829161.13388792705</c:v>
                </c:pt>
                <c:pt idx="59">
                  <c:v>-910092.35742715001</c:v>
                </c:pt>
                <c:pt idx="60">
                  <c:v>-988719.82228854019</c:v>
                </c:pt>
                <c:pt idx="61">
                  <c:v>-1065127.8487271033</c:v>
                </c:pt>
                <c:pt idx="62">
                  <c:v>-1139397.0659395647</c:v>
                </c:pt>
                <c:pt idx="63">
                  <c:v>-1211604.5981910918</c:v>
                </c:pt>
                <c:pt idx="64">
                  <c:v>-1281824.2403791742</c:v>
                </c:pt>
                <c:pt idx="65">
                  <c:v>-1350126.6236983747</c:v>
                </c:pt>
                <c:pt idx="66">
                  <c:v>-1416579.3720242637</c:v>
                </c:pt>
                <c:pt idx="67">
                  <c:v>-1481247.2495923769</c:v>
                </c:pt>
                <c:pt idx="68">
                  <c:v>-1544192.3005091241</c:v>
                </c:pt>
                <c:pt idx="69">
                  <c:v>-1605473.9805951416</c:v>
                </c:pt>
                <c:pt idx="70">
                  <c:v>-1665149.2820281819</c:v>
                </c:pt>
                <c:pt idx="71">
                  <c:v>-1723272.85122133</c:v>
                </c:pt>
                <c:pt idx="72">
                  <c:v>-1779897.100343578</c:v>
                </c:pt>
                <c:pt idx="73">
                  <c:v>-1835072.312862887</c:v>
                </c:pt>
                <c:pt idx="74">
                  <c:v>-1888846.7434670138</c:v>
                </c:pt>
                <c:pt idx="75">
                  <c:v>-1941266.7126942449</c:v>
                </c:pt>
              </c:numCache>
            </c:numRef>
          </c:val>
        </c:ser>
        <c:marker val="1"/>
        <c:axId val="85748352"/>
        <c:axId val="105079168"/>
      </c:lineChart>
      <c:catAx>
        <c:axId val="85748352"/>
        <c:scaling>
          <c:orientation val="minMax"/>
        </c:scaling>
        <c:axPos val="b"/>
        <c:tickLblPos val="nextTo"/>
        <c:crossAx val="105079168"/>
        <c:crosses val="autoZero"/>
        <c:auto val="1"/>
        <c:lblAlgn val="ctr"/>
        <c:lblOffset val="100"/>
      </c:catAx>
      <c:valAx>
        <c:axId val="105079168"/>
        <c:scaling>
          <c:orientation val="minMax"/>
        </c:scaling>
        <c:axPos val="l"/>
        <c:majorGridlines/>
        <c:numFmt formatCode="0.00" sourceLinked="1"/>
        <c:tickLblPos val="nextTo"/>
        <c:crossAx val="85748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144</xdr:row>
      <xdr:rowOff>161925</xdr:rowOff>
    </xdr:from>
    <xdr:to>
      <xdr:col>5</xdr:col>
      <xdr:colOff>1019175</xdr:colOff>
      <xdr:row>159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PECIALIZACI&#211;N%20EN%20GERENCIA%20DE%20PROYECTOS/Ejercicio%20%20finaniero%20BEBIDAS%20con%20macro%20de%20an&#225;lisis%20de%20sensibilida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</sheetNames>
    <sheetDataSet>
      <sheetData sheetId="0">
        <row r="138">
          <cell r="B138">
            <v>5000000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opLeftCell="A13" workbookViewId="0">
      <selection activeCell="B31" sqref="B31"/>
    </sheetView>
  </sheetViews>
  <sheetFormatPr baseColWidth="10" defaultRowHeight="15"/>
  <cols>
    <col min="1" max="1" width="33.6640625" customWidth="1"/>
    <col min="2" max="2" width="16" customWidth="1"/>
    <col min="3" max="3" width="14" customWidth="1"/>
    <col min="4" max="4" width="14.33203125" customWidth="1"/>
  </cols>
  <sheetData>
    <row r="1" spans="1:7" ht="20.25">
      <c r="A1" s="15" t="s">
        <v>0</v>
      </c>
      <c r="B1" s="15"/>
      <c r="C1" s="15"/>
      <c r="D1" s="15"/>
      <c r="E1" s="15"/>
      <c r="F1" s="15"/>
      <c r="G1" s="15"/>
    </row>
    <row r="2" spans="1:7">
      <c r="A2" s="8" t="s">
        <v>1</v>
      </c>
      <c r="B2" s="8" t="s">
        <v>2</v>
      </c>
      <c r="C2" s="8" t="s">
        <v>3</v>
      </c>
      <c r="D2" s="8"/>
      <c r="E2" s="8"/>
      <c r="F2" s="8"/>
      <c r="G2" s="8"/>
    </row>
    <row r="3" spans="1:7">
      <c r="A3" s="8" t="s">
        <v>4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</row>
    <row r="4" spans="1:7">
      <c r="A4" s="16" t="s">
        <v>5</v>
      </c>
      <c r="B4" s="8"/>
      <c r="C4" s="12"/>
      <c r="D4" s="12"/>
      <c r="E4" s="12"/>
      <c r="F4" s="12"/>
      <c r="G4" s="12"/>
    </row>
    <row r="5" spans="1:7">
      <c r="A5" t="s">
        <v>19</v>
      </c>
      <c r="C5">
        <v>220</v>
      </c>
      <c r="D5">
        <f>ROUND(C5*1.2,0)</f>
        <v>264</v>
      </c>
      <c r="E5">
        <f t="shared" ref="E5:G5" si="0">ROUND(D5*1.2,0)</f>
        <v>317</v>
      </c>
      <c r="F5">
        <f t="shared" si="0"/>
        <v>380</v>
      </c>
      <c r="G5">
        <f t="shared" si="0"/>
        <v>456</v>
      </c>
    </row>
    <row r="6" spans="1:7">
      <c r="A6" t="s">
        <v>20</v>
      </c>
      <c r="C6" s="7">
        <v>3000</v>
      </c>
      <c r="D6" s="7">
        <f>ROUND(C6*1.2,0)</f>
        <v>3600</v>
      </c>
      <c r="E6" s="7">
        <f t="shared" ref="E6:G6" si="1">ROUND(D6*1.2,0)</f>
        <v>4320</v>
      </c>
      <c r="F6" s="7">
        <f t="shared" si="1"/>
        <v>5184</v>
      </c>
      <c r="G6" s="7">
        <f t="shared" si="1"/>
        <v>6221</v>
      </c>
    </row>
    <row r="7" spans="1:7" ht="15.75">
      <c r="A7" s="18" t="s">
        <v>21</v>
      </c>
      <c r="B7" s="18"/>
      <c r="C7" s="19">
        <f>C5*C6</f>
        <v>660000</v>
      </c>
      <c r="D7" s="19">
        <f t="shared" ref="D7:G7" si="2">D5*D6</f>
        <v>950400</v>
      </c>
      <c r="E7" s="19">
        <f t="shared" si="2"/>
        <v>1369440</v>
      </c>
      <c r="F7" s="19">
        <f t="shared" si="2"/>
        <v>1969920</v>
      </c>
      <c r="G7" s="19">
        <f t="shared" si="2"/>
        <v>2836776</v>
      </c>
    </row>
    <row r="11" spans="1:7" ht="20.25">
      <c r="A11" s="15" t="s">
        <v>0</v>
      </c>
      <c r="B11" s="15"/>
      <c r="C11" s="15"/>
      <c r="D11" s="15"/>
      <c r="E11" s="15"/>
      <c r="F11" s="15"/>
      <c r="G11" s="15"/>
    </row>
    <row r="12" spans="1:7" ht="15.75">
      <c r="A12" s="18" t="s">
        <v>1</v>
      </c>
      <c r="B12" s="36" t="s">
        <v>2</v>
      </c>
      <c r="C12" s="37" t="s">
        <v>3</v>
      </c>
      <c r="D12" s="37"/>
      <c r="E12" s="37"/>
      <c r="F12" s="37"/>
      <c r="G12" s="37"/>
    </row>
    <row r="13" spans="1:7">
      <c r="A13" s="8" t="s">
        <v>4</v>
      </c>
      <c r="B13" s="35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</row>
    <row r="14" spans="1:7">
      <c r="A14" s="16" t="s">
        <v>5</v>
      </c>
      <c r="B14" s="8"/>
      <c r="C14" s="12">
        <v>0.61818181818181817</v>
      </c>
      <c r="D14" s="12">
        <v>0.70909090909090911</v>
      </c>
      <c r="E14" s="12">
        <v>0.80909090909090908</v>
      </c>
      <c r="F14" s="12">
        <v>0.91818181818181821</v>
      </c>
      <c r="G14" s="12">
        <v>1</v>
      </c>
    </row>
    <row r="15" spans="1:7">
      <c r="A15" s="17" t="s">
        <v>6</v>
      </c>
      <c r="C15" s="7">
        <f>C7</f>
        <v>660000</v>
      </c>
      <c r="D15" s="7">
        <f t="shared" ref="D15:G15" si="3">D7</f>
        <v>950400</v>
      </c>
      <c r="E15" s="7">
        <f t="shared" si="3"/>
        <v>1369440</v>
      </c>
      <c r="F15" s="7">
        <f t="shared" si="3"/>
        <v>1969920</v>
      </c>
      <c r="G15" s="7">
        <f t="shared" si="3"/>
        <v>2836776</v>
      </c>
    </row>
    <row r="16" spans="1:7">
      <c r="A16" s="17" t="s">
        <v>7</v>
      </c>
      <c r="C16" s="7">
        <v>1044357</v>
      </c>
      <c r="D16" s="7">
        <v>1044357</v>
      </c>
      <c r="E16" s="7">
        <v>1044357</v>
      </c>
      <c r="F16" s="7">
        <v>1044357</v>
      </c>
      <c r="G16" s="7">
        <v>1044357</v>
      </c>
    </row>
    <row r="17" spans="1:7">
      <c r="A17" s="17" t="s">
        <v>8</v>
      </c>
      <c r="C17" s="7">
        <v>551546</v>
      </c>
      <c r="D17" s="7">
        <v>551546</v>
      </c>
      <c r="E17" s="7">
        <v>551546</v>
      </c>
      <c r="F17" s="7">
        <v>551546</v>
      </c>
      <c r="G17" s="7">
        <v>551546</v>
      </c>
    </row>
    <row r="18" spans="1:7">
      <c r="A18" s="17" t="s">
        <v>9</v>
      </c>
      <c r="C18" s="7">
        <v>1598012</v>
      </c>
      <c r="D18" s="7">
        <v>1598012</v>
      </c>
      <c r="E18" s="7">
        <v>1598012</v>
      </c>
      <c r="F18" s="7">
        <v>1598012</v>
      </c>
      <c r="G18" s="7">
        <v>1598012</v>
      </c>
    </row>
    <row r="19" spans="1:7" ht="15.75">
      <c r="A19" s="24" t="s">
        <v>10</v>
      </c>
      <c r="B19" s="18"/>
      <c r="C19" s="19">
        <f>SUM(C15:C18)</f>
        <v>3853915</v>
      </c>
      <c r="D19" s="19">
        <f>SUM(D15:D18)</f>
        <v>4144315</v>
      </c>
      <c r="E19" s="19">
        <f>SUM(E15:E18)</f>
        <v>4563355</v>
      </c>
      <c r="F19" s="19">
        <f>SUM(F15:F18)</f>
        <v>5163835</v>
      </c>
      <c r="G19" s="19">
        <f>SUM(G15:G18)</f>
        <v>6030691</v>
      </c>
    </row>
    <row r="20" spans="1:7">
      <c r="A20" s="17" t="s">
        <v>11</v>
      </c>
      <c r="C20" s="7">
        <v>2410835</v>
      </c>
      <c r="D20" s="7">
        <v>2410835</v>
      </c>
      <c r="E20" s="7">
        <v>2410835</v>
      </c>
      <c r="F20" s="7">
        <v>2410835</v>
      </c>
      <c r="G20" s="7">
        <v>2410835</v>
      </c>
    </row>
    <row r="21" spans="1:7">
      <c r="A21" s="17" t="s">
        <v>12</v>
      </c>
      <c r="C21" s="7">
        <v>2027867</v>
      </c>
      <c r="D21" s="7">
        <v>1845071</v>
      </c>
      <c r="E21" s="7">
        <v>1873088</v>
      </c>
      <c r="F21" s="7">
        <v>1937296</v>
      </c>
      <c r="G21" s="7">
        <v>1980988</v>
      </c>
    </row>
    <row r="22" spans="1:7">
      <c r="A22" s="17" t="s">
        <v>13</v>
      </c>
      <c r="C22" s="7">
        <v>432000</v>
      </c>
      <c r="D22" s="7">
        <v>432000</v>
      </c>
      <c r="E22" s="7">
        <v>432000</v>
      </c>
      <c r="F22" s="7">
        <v>432000</v>
      </c>
      <c r="G22" s="7">
        <v>432000</v>
      </c>
    </row>
    <row r="23" spans="1:7">
      <c r="A23" s="17" t="s">
        <v>14</v>
      </c>
      <c r="C23" s="7">
        <v>188448</v>
      </c>
      <c r="D23" s="7">
        <v>188448</v>
      </c>
      <c r="E23" s="7">
        <v>188448</v>
      </c>
      <c r="F23" s="7">
        <v>188448</v>
      </c>
      <c r="G23" s="7">
        <v>188448</v>
      </c>
    </row>
    <row r="24" spans="1:7" ht="15.75">
      <c r="A24" s="24" t="s">
        <v>15</v>
      </c>
      <c r="B24" s="18"/>
      <c r="C24" s="19">
        <f>SUM(C20:C23)</f>
        <v>5059150</v>
      </c>
      <c r="D24" s="19">
        <f t="shared" ref="D24:G24" si="4">SUM(D20:D23)</f>
        <v>4876354</v>
      </c>
      <c r="E24" s="19">
        <f t="shared" si="4"/>
        <v>4904371</v>
      </c>
      <c r="F24" s="19">
        <f t="shared" si="4"/>
        <v>4968579</v>
      </c>
      <c r="G24" s="19">
        <f t="shared" si="4"/>
        <v>5012271</v>
      </c>
    </row>
    <row r="25" spans="1:7">
      <c r="A25" s="25" t="s">
        <v>16</v>
      </c>
      <c r="B25" s="26"/>
      <c r="C25" s="27">
        <f>C19+C24</f>
        <v>8913065</v>
      </c>
      <c r="D25" s="27">
        <f t="shared" ref="D25:G25" si="5">D19+D24</f>
        <v>9020669</v>
      </c>
      <c r="E25" s="27">
        <f t="shared" si="5"/>
        <v>9467726</v>
      </c>
      <c r="F25" s="27">
        <f t="shared" si="5"/>
        <v>10132414</v>
      </c>
      <c r="G25" s="27">
        <f t="shared" si="5"/>
        <v>11042962</v>
      </c>
    </row>
    <row r="26" spans="1:7" ht="30">
      <c r="A26" s="28" t="s">
        <v>17</v>
      </c>
      <c r="B26" s="1"/>
      <c r="C26" s="29">
        <v>1050000</v>
      </c>
      <c r="D26" s="29">
        <v>911646.40428406186</v>
      </c>
      <c r="E26" s="29">
        <v>744238.55346777674</v>
      </c>
      <c r="F26" s="29">
        <v>541675.0539800718</v>
      </c>
      <c r="G26" s="29">
        <v>296573.21959994885</v>
      </c>
    </row>
    <row r="27" spans="1:7" ht="31.5">
      <c r="A27" s="32" t="s">
        <v>18</v>
      </c>
      <c r="B27" s="33"/>
      <c r="C27" s="34">
        <f>C25+C26</f>
        <v>9963065</v>
      </c>
      <c r="D27" s="34">
        <f t="shared" ref="D27:G27" si="6">D25+D26</f>
        <v>9932315.4042840619</v>
      </c>
      <c r="E27" s="34">
        <f t="shared" si="6"/>
        <v>10211964.553467777</v>
      </c>
      <c r="F27" s="34">
        <f t="shared" si="6"/>
        <v>10674089.053980071</v>
      </c>
      <c r="G27" s="34">
        <f t="shared" si="6"/>
        <v>11339535.219599949</v>
      </c>
    </row>
    <row r="28" spans="1:7" ht="47.25">
      <c r="A28" s="150" t="s">
        <v>129</v>
      </c>
      <c r="B28" s="18"/>
      <c r="C28" s="19">
        <f>C27-C26-C23-C18</f>
        <v>7126605</v>
      </c>
      <c r="D28" s="19">
        <f t="shared" ref="D28:G28" si="7">D27-D26-D23-D18</f>
        <v>7234209</v>
      </c>
      <c r="E28" s="19">
        <f t="shared" si="7"/>
        <v>7681266</v>
      </c>
      <c r="F28" s="19">
        <f t="shared" si="7"/>
        <v>8345954</v>
      </c>
      <c r="G28" s="19">
        <f t="shared" si="7"/>
        <v>9256502</v>
      </c>
    </row>
    <row r="29" spans="1:7">
      <c r="C29" s="7"/>
      <c r="D29" s="7"/>
      <c r="E29" s="7"/>
      <c r="F29" s="7"/>
      <c r="G29" s="7"/>
    </row>
  </sheetData>
  <mergeCells count="3">
    <mergeCell ref="A11:G11"/>
    <mergeCell ref="A1:G1"/>
    <mergeCell ref="C12:G1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opLeftCell="A7" workbookViewId="0">
      <selection activeCell="F24" sqref="F24"/>
    </sheetView>
  </sheetViews>
  <sheetFormatPr baseColWidth="10" defaultRowHeight="15"/>
  <cols>
    <col min="1" max="1" width="35" customWidth="1"/>
    <col min="2" max="2" width="13.33203125" customWidth="1"/>
    <col min="3" max="3" width="13.33203125" bestFit="1" customWidth="1"/>
    <col min="4" max="4" width="14.109375" customWidth="1"/>
    <col min="5" max="6" width="13.33203125" bestFit="1" customWidth="1"/>
    <col min="8" max="8" width="13.33203125" bestFit="1" customWidth="1"/>
    <col min="10" max="10" width="13.88671875" customWidth="1"/>
    <col min="257" max="257" width="26.44140625" customWidth="1"/>
    <col min="258" max="258" width="13.33203125" customWidth="1"/>
    <col min="259" max="259" width="12.5546875" customWidth="1"/>
    <col min="260" max="260" width="14.109375" customWidth="1"/>
    <col min="261" max="261" width="11.88671875" customWidth="1"/>
    <col min="513" max="513" width="26.44140625" customWidth="1"/>
    <col min="514" max="514" width="13.33203125" customWidth="1"/>
    <col min="515" max="515" width="12.5546875" customWidth="1"/>
    <col min="516" max="516" width="14.109375" customWidth="1"/>
    <col min="517" max="517" width="11.88671875" customWidth="1"/>
    <col min="769" max="769" width="26.44140625" customWidth="1"/>
    <col min="770" max="770" width="13.33203125" customWidth="1"/>
    <col min="771" max="771" width="12.5546875" customWidth="1"/>
    <col min="772" max="772" width="14.109375" customWidth="1"/>
    <col min="773" max="773" width="11.88671875" customWidth="1"/>
    <col min="1025" max="1025" width="26.44140625" customWidth="1"/>
    <col min="1026" max="1026" width="13.33203125" customWidth="1"/>
    <col min="1027" max="1027" width="12.5546875" customWidth="1"/>
    <col min="1028" max="1028" width="14.109375" customWidth="1"/>
    <col min="1029" max="1029" width="11.88671875" customWidth="1"/>
    <col min="1281" max="1281" width="26.44140625" customWidth="1"/>
    <col min="1282" max="1282" width="13.33203125" customWidth="1"/>
    <col min="1283" max="1283" width="12.5546875" customWidth="1"/>
    <col min="1284" max="1284" width="14.109375" customWidth="1"/>
    <col min="1285" max="1285" width="11.88671875" customWidth="1"/>
    <col min="1537" max="1537" width="26.44140625" customWidth="1"/>
    <col min="1538" max="1538" width="13.33203125" customWidth="1"/>
    <col min="1539" max="1539" width="12.5546875" customWidth="1"/>
    <col min="1540" max="1540" width="14.109375" customWidth="1"/>
    <col min="1541" max="1541" width="11.88671875" customWidth="1"/>
    <col min="1793" max="1793" width="26.44140625" customWidth="1"/>
    <col min="1794" max="1794" width="13.33203125" customWidth="1"/>
    <col min="1795" max="1795" width="12.5546875" customWidth="1"/>
    <col min="1796" max="1796" width="14.109375" customWidth="1"/>
    <col min="1797" max="1797" width="11.88671875" customWidth="1"/>
    <col min="2049" max="2049" width="26.44140625" customWidth="1"/>
    <col min="2050" max="2050" width="13.33203125" customWidth="1"/>
    <col min="2051" max="2051" width="12.5546875" customWidth="1"/>
    <col min="2052" max="2052" width="14.109375" customWidth="1"/>
    <col min="2053" max="2053" width="11.88671875" customWidth="1"/>
    <col min="2305" max="2305" width="26.44140625" customWidth="1"/>
    <col min="2306" max="2306" width="13.33203125" customWidth="1"/>
    <col min="2307" max="2307" width="12.5546875" customWidth="1"/>
    <col min="2308" max="2308" width="14.109375" customWidth="1"/>
    <col min="2309" max="2309" width="11.88671875" customWidth="1"/>
    <col min="2561" max="2561" width="26.44140625" customWidth="1"/>
    <col min="2562" max="2562" width="13.33203125" customWidth="1"/>
    <col min="2563" max="2563" width="12.5546875" customWidth="1"/>
    <col min="2564" max="2564" width="14.109375" customWidth="1"/>
    <col min="2565" max="2565" width="11.88671875" customWidth="1"/>
    <col min="2817" max="2817" width="26.44140625" customWidth="1"/>
    <col min="2818" max="2818" width="13.33203125" customWidth="1"/>
    <col min="2819" max="2819" width="12.5546875" customWidth="1"/>
    <col min="2820" max="2820" width="14.109375" customWidth="1"/>
    <col min="2821" max="2821" width="11.88671875" customWidth="1"/>
    <col min="3073" max="3073" width="26.44140625" customWidth="1"/>
    <col min="3074" max="3074" width="13.33203125" customWidth="1"/>
    <col min="3075" max="3075" width="12.5546875" customWidth="1"/>
    <col min="3076" max="3076" width="14.109375" customWidth="1"/>
    <col min="3077" max="3077" width="11.88671875" customWidth="1"/>
    <col min="3329" max="3329" width="26.44140625" customWidth="1"/>
    <col min="3330" max="3330" width="13.33203125" customWidth="1"/>
    <col min="3331" max="3331" width="12.5546875" customWidth="1"/>
    <col min="3332" max="3332" width="14.109375" customWidth="1"/>
    <col min="3333" max="3333" width="11.88671875" customWidth="1"/>
    <col min="3585" max="3585" width="26.44140625" customWidth="1"/>
    <col min="3586" max="3586" width="13.33203125" customWidth="1"/>
    <col min="3587" max="3587" width="12.5546875" customWidth="1"/>
    <col min="3588" max="3588" width="14.109375" customWidth="1"/>
    <col min="3589" max="3589" width="11.88671875" customWidth="1"/>
    <col min="3841" max="3841" width="26.44140625" customWidth="1"/>
    <col min="3842" max="3842" width="13.33203125" customWidth="1"/>
    <col min="3843" max="3843" width="12.5546875" customWidth="1"/>
    <col min="3844" max="3844" width="14.109375" customWidth="1"/>
    <col min="3845" max="3845" width="11.88671875" customWidth="1"/>
    <col min="4097" max="4097" width="26.44140625" customWidth="1"/>
    <col min="4098" max="4098" width="13.33203125" customWidth="1"/>
    <col min="4099" max="4099" width="12.5546875" customWidth="1"/>
    <col min="4100" max="4100" width="14.109375" customWidth="1"/>
    <col min="4101" max="4101" width="11.88671875" customWidth="1"/>
    <col min="4353" max="4353" width="26.44140625" customWidth="1"/>
    <col min="4354" max="4354" width="13.33203125" customWidth="1"/>
    <col min="4355" max="4355" width="12.5546875" customWidth="1"/>
    <col min="4356" max="4356" width="14.109375" customWidth="1"/>
    <col min="4357" max="4357" width="11.88671875" customWidth="1"/>
    <col min="4609" max="4609" width="26.44140625" customWidth="1"/>
    <col min="4610" max="4610" width="13.33203125" customWidth="1"/>
    <col min="4611" max="4611" width="12.5546875" customWidth="1"/>
    <col min="4612" max="4612" width="14.109375" customWidth="1"/>
    <col min="4613" max="4613" width="11.88671875" customWidth="1"/>
    <col min="4865" max="4865" width="26.44140625" customWidth="1"/>
    <col min="4866" max="4866" width="13.33203125" customWidth="1"/>
    <col min="4867" max="4867" width="12.5546875" customWidth="1"/>
    <col min="4868" max="4868" width="14.109375" customWidth="1"/>
    <col min="4869" max="4869" width="11.88671875" customWidth="1"/>
    <col min="5121" max="5121" width="26.44140625" customWidth="1"/>
    <col min="5122" max="5122" width="13.33203125" customWidth="1"/>
    <col min="5123" max="5123" width="12.5546875" customWidth="1"/>
    <col min="5124" max="5124" width="14.109375" customWidth="1"/>
    <col min="5125" max="5125" width="11.88671875" customWidth="1"/>
    <col min="5377" max="5377" width="26.44140625" customWidth="1"/>
    <col min="5378" max="5378" width="13.33203125" customWidth="1"/>
    <col min="5379" max="5379" width="12.5546875" customWidth="1"/>
    <col min="5380" max="5380" width="14.109375" customWidth="1"/>
    <col min="5381" max="5381" width="11.88671875" customWidth="1"/>
    <col min="5633" max="5633" width="26.44140625" customWidth="1"/>
    <col min="5634" max="5634" width="13.33203125" customWidth="1"/>
    <col min="5635" max="5635" width="12.5546875" customWidth="1"/>
    <col min="5636" max="5636" width="14.109375" customWidth="1"/>
    <col min="5637" max="5637" width="11.88671875" customWidth="1"/>
    <col min="5889" max="5889" width="26.44140625" customWidth="1"/>
    <col min="5890" max="5890" width="13.33203125" customWidth="1"/>
    <col min="5891" max="5891" width="12.5546875" customWidth="1"/>
    <col min="5892" max="5892" width="14.109375" customWidth="1"/>
    <col min="5893" max="5893" width="11.88671875" customWidth="1"/>
    <col min="6145" max="6145" width="26.44140625" customWidth="1"/>
    <col min="6146" max="6146" width="13.33203125" customWidth="1"/>
    <col min="6147" max="6147" width="12.5546875" customWidth="1"/>
    <col min="6148" max="6148" width="14.109375" customWidth="1"/>
    <col min="6149" max="6149" width="11.88671875" customWidth="1"/>
    <col min="6401" max="6401" width="26.44140625" customWidth="1"/>
    <col min="6402" max="6402" width="13.33203125" customWidth="1"/>
    <col min="6403" max="6403" width="12.5546875" customWidth="1"/>
    <col min="6404" max="6404" width="14.109375" customWidth="1"/>
    <col min="6405" max="6405" width="11.88671875" customWidth="1"/>
    <col min="6657" max="6657" width="26.44140625" customWidth="1"/>
    <col min="6658" max="6658" width="13.33203125" customWidth="1"/>
    <col min="6659" max="6659" width="12.5546875" customWidth="1"/>
    <col min="6660" max="6660" width="14.109375" customWidth="1"/>
    <col min="6661" max="6661" width="11.88671875" customWidth="1"/>
    <col min="6913" max="6913" width="26.44140625" customWidth="1"/>
    <col min="6914" max="6914" width="13.33203125" customWidth="1"/>
    <col min="6915" max="6915" width="12.5546875" customWidth="1"/>
    <col min="6916" max="6916" width="14.109375" customWidth="1"/>
    <col min="6917" max="6917" width="11.88671875" customWidth="1"/>
    <col min="7169" max="7169" width="26.44140625" customWidth="1"/>
    <col min="7170" max="7170" width="13.33203125" customWidth="1"/>
    <col min="7171" max="7171" width="12.5546875" customWidth="1"/>
    <col min="7172" max="7172" width="14.109375" customWidth="1"/>
    <col min="7173" max="7173" width="11.88671875" customWidth="1"/>
    <col min="7425" max="7425" width="26.44140625" customWidth="1"/>
    <col min="7426" max="7426" width="13.33203125" customWidth="1"/>
    <col min="7427" max="7427" width="12.5546875" customWidth="1"/>
    <col min="7428" max="7428" width="14.109375" customWidth="1"/>
    <col min="7429" max="7429" width="11.88671875" customWidth="1"/>
    <col min="7681" max="7681" width="26.44140625" customWidth="1"/>
    <col min="7682" max="7682" width="13.33203125" customWidth="1"/>
    <col min="7683" max="7683" width="12.5546875" customWidth="1"/>
    <col min="7684" max="7684" width="14.109375" customWidth="1"/>
    <col min="7685" max="7685" width="11.88671875" customWidth="1"/>
    <col min="7937" max="7937" width="26.44140625" customWidth="1"/>
    <col min="7938" max="7938" width="13.33203125" customWidth="1"/>
    <col min="7939" max="7939" width="12.5546875" customWidth="1"/>
    <col min="7940" max="7940" width="14.109375" customWidth="1"/>
    <col min="7941" max="7941" width="11.88671875" customWidth="1"/>
    <col min="8193" max="8193" width="26.44140625" customWidth="1"/>
    <col min="8194" max="8194" width="13.33203125" customWidth="1"/>
    <col min="8195" max="8195" width="12.5546875" customWidth="1"/>
    <col min="8196" max="8196" width="14.109375" customWidth="1"/>
    <col min="8197" max="8197" width="11.88671875" customWidth="1"/>
    <col min="8449" max="8449" width="26.44140625" customWidth="1"/>
    <col min="8450" max="8450" width="13.33203125" customWidth="1"/>
    <col min="8451" max="8451" width="12.5546875" customWidth="1"/>
    <col min="8452" max="8452" width="14.109375" customWidth="1"/>
    <col min="8453" max="8453" width="11.88671875" customWidth="1"/>
    <col min="8705" max="8705" width="26.44140625" customWidth="1"/>
    <col min="8706" max="8706" width="13.33203125" customWidth="1"/>
    <col min="8707" max="8707" width="12.5546875" customWidth="1"/>
    <col min="8708" max="8708" width="14.109375" customWidth="1"/>
    <col min="8709" max="8709" width="11.88671875" customWidth="1"/>
    <col min="8961" max="8961" width="26.44140625" customWidth="1"/>
    <col min="8962" max="8962" width="13.33203125" customWidth="1"/>
    <col min="8963" max="8963" width="12.5546875" customWidth="1"/>
    <col min="8964" max="8964" width="14.109375" customWidth="1"/>
    <col min="8965" max="8965" width="11.88671875" customWidth="1"/>
    <col min="9217" max="9217" width="26.44140625" customWidth="1"/>
    <col min="9218" max="9218" width="13.33203125" customWidth="1"/>
    <col min="9219" max="9219" width="12.5546875" customWidth="1"/>
    <col min="9220" max="9220" width="14.109375" customWidth="1"/>
    <col min="9221" max="9221" width="11.88671875" customWidth="1"/>
    <col min="9473" max="9473" width="26.44140625" customWidth="1"/>
    <col min="9474" max="9474" width="13.33203125" customWidth="1"/>
    <col min="9475" max="9475" width="12.5546875" customWidth="1"/>
    <col min="9476" max="9476" width="14.109375" customWidth="1"/>
    <col min="9477" max="9477" width="11.88671875" customWidth="1"/>
    <col min="9729" max="9729" width="26.44140625" customWidth="1"/>
    <col min="9730" max="9730" width="13.33203125" customWidth="1"/>
    <col min="9731" max="9731" width="12.5546875" customWidth="1"/>
    <col min="9732" max="9732" width="14.109375" customWidth="1"/>
    <col min="9733" max="9733" width="11.88671875" customWidth="1"/>
    <col min="9985" max="9985" width="26.44140625" customWidth="1"/>
    <col min="9986" max="9986" width="13.33203125" customWidth="1"/>
    <col min="9987" max="9987" width="12.5546875" customWidth="1"/>
    <col min="9988" max="9988" width="14.109375" customWidth="1"/>
    <col min="9989" max="9989" width="11.88671875" customWidth="1"/>
    <col min="10241" max="10241" width="26.44140625" customWidth="1"/>
    <col min="10242" max="10242" width="13.33203125" customWidth="1"/>
    <col min="10243" max="10243" width="12.5546875" customWidth="1"/>
    <col min="10244" max="10244" width="14.109375" customWidth="1"/>
    <col min="10245" max="10245" width="11.88671875" customWidth="1"/>
    <col min="10497" max="10497" width="26.44140625" customWidth="1"/>
    <col min="10498" max="10498" width="13.33203125" customWidth="1"/>
    <col min="10499" max="10499" width="12.5546875" customWidth="1"/>
    <col min="10500" max="10500" width="14.109375" customWidth="1"/>
    <col min="10501" max="10501" width="11.88671875" customWidth="1"/>
    <col min="10753" max="10753" width="26.44140625" customWidth="1"/>
    <col min="10754" max="10754" width="13.33203125" customWidth="1"/>
    <col min="10755" max="10755" width="12.5546875" customWidth="1"/>
    <col min="10756" max="10756" width="14.109375" customWidth="1"/>
    <col min="10757" max="10757" width="11.88671875" customWidth="1"/>
    <col min="11009" max="11009" width="26.44140625" customWidth="1"/>
    <col min="11010" max="11010" width="13.33203125" customWidth="1"/>
    <col min="11011" max="11011" width="12.5546875" customWidth="1"/>
    <col min="11012" max="11012" width="14.109375" customWidth="1"/>
    <col min="11013" max="11013" width="11.88671875" customWidth="1"/>
    <col min="11265" max="11265" width="26.44140625" customWidth="1"/>
    <col min="11266" max="11266" width="13.33203125" customWidth="1"/>
    <col min="11267" max="11267" width="12.5546875" customWidth="1"/>
    <col min="11268" max="11268" width="14.109375" customWidth="1"/>
    <col min="11269" max="11269" width="11.88671875" customWidth="1"/>
    <col min="11521" max="11521" width="26.44140625" customWidth="1"/>
    <col min="11522" max="11522" width="13.33203125" customWidth="1"/>
    <col min="11523" max="11523" width="12.5546875" customWidth="1"/>
    <col min="11524" max="11524" width="14.109375" customWidth="1"/>
    <col min="11525" max="11525" width="11.88671875" customWidth="1"/>
    <col min="11777" max="11777" width="26.44140625" customWidth="1"/>
    <col min="11778" max="11778" width="13.33203125" customWidth="1"/>
    <col min="11779" max="11779" width="12.5546875" customWidth="1"/>
    <col min="11780" max="11780" width="14.109375" customWidth="1"/>
    <col min="11781" max="11781" width="11.88671875" customWidth="1"/>
    <col min="12033" max="12033" width="26.44140625" customWidth="1"/>
    <col min="12034" max="12034" width="13.33203125" customWidth="1"/>
    <col min="12035" max="12035" width="12.5546875" customWidth="1"/>
    <col min="12036" max="12036" width="14.109375" customWidth="1"/>
    <col min="12037" max="12037" width="11.88671875" customWidth="1"/>
    <col min="12289" max="12289" width="26.44140625" customWidth="1"/>
    <col min="12290" max="12290" width="13.33203125" customWidth="1"/>
    <col min="12291" max="12291" width="12.5546875" customWidth="1"/>
    <col min="12292" max="12292" width="14.109375" customWidth="1"/>
    <col min="12293" max="12293" width="11.88671875" customWidth="1"/>
    <col min="12545" max="12545" width="26.44140625" customWidth="1"/>
    <col min="12546" max="12546" width="13.33203125" customWidth="1"/>
    <col min="12547" max="12547" width="12.5546875" customWidth="1"/>
    <col min="12548" max="12548" width="14.109375" customWidth="1"/>
    <col min="12549" max="12549" width="11.88671875" customWidth="1"/>
    <col min="12801" max="12801" width="26.44140625" customWidth="1"/>
    <col min="12802" max="12802" width="13.33203125" customWidth="1"/>
    <col min="12803" max="12803" width="12.5546875" customWidth="1"/>
    <col min="12804" max="12804" width="14.109375" customWidth="1"/>
    <col min="12805" max="12805" width="11.88671875" customWidth="1"/>
    <col min="13057" max="13057" width="26.44140625" customWidth="1"/>
    <col min="13058" max="13058" width="13.33203125" customWidth="1"/>
    <col min="13059" max="13059" width="12.5546875" customWidth="1"/>
    <col min="13060" max="13060" width="14.109375" customWidth="1"/>
    <col min="13061" max="13061" width="11.88671875" customWidth="1"/>
    <col min="13313" max="13313" width="26.44140625" customWidth="1"/>
    <col min="13314" max="13314" width="13.33203125" customWidth="1"/>
    <col min="13315" max="13315" width="12.5546875" customWidth="1"/>
    <col min="13316" max="13316" width="14.109375" customWidth="1"/>
    <col min="13317" max="13317" width="11.88671875" customWidth="1"/>
    <col min="13569" max="13569" width="26.44140625" customWidth="1"/>
    <col min="13570" max="13570" width="13.33203125" customWidth="1"/>
    <col min="13571" max="13571" width="12.5546875" customWidth="1"/>
    <col min="13572" max="13572" width="14.109375" customWidth="1"/>
    <col min="13573" max="13573" width="11.88671875" customWidth="1"/>
    <col min="13825" max="13825" width="26.44140625" customWidth="1"/>
    <col min="13826" max="13826" width="13.33203125" customWidth="1"/>
    <col min="13827" max="13827" width="12.5546875" customWidth="1"/>
    <col min="13828" max="13828" width="14.109375" customWidth="1"/>
    <col min="13829" max="13829" width="11.88671875" customWidth="1"/>
    <col min="14081" max="14081" width="26.44140625" customWidth="1"/>
    <col min="14082" max="14082" width="13.33203125" customWidth="1"/>
    <col min="14083" max="14083" width="12.5546875" customWidth="1"/>
    <col min="14084" max="14084" width="14.109375" customWidth="1"/>
    <col min="14085" max="14085" width="11.88671875" customWidth="1"/>
    <col min="14337" max="14337" width="26.44140625" customWidth="1"/>
    <col min="14338" max="14338" width="13.33203125" customWidth="1"/>
    <col min="14339" max="14339" width="12.5546875" customWidth="1"/>
    <col min="14340" max="14340" width="14.109375" customWidth="1"/>
    <col min="14341" max="14341" width="11.88671875" customWidth="1"/>
    <col min="14593" max="14593" width="26.44140625" customWidth="1"/>
    <col min="14594" max="14594" width="13.33203125" customWidth="1"/>
    <col min="14595" max="14595" width="12.5546875" customWidth="1"/>
    <col min="14596" max="14596" width="14.109375" customWidth="1"/>
    <col min="14597" max="14597" width="11.88671875" customWidth="1"/>
    <col min="14849" max="14849" width="26.44140625" customWidth="1"/>
    <col min="14850" max="14850" width="13.33203125" customWidth="1"/>
    <col min="14851" max="14851" width="12.5546875" customWidth="1"/>
    <col min="14852" max="14852" width="14.109375" customWidth="1"/>
    <col min="14853" max="14853" width="11.88671875" customWidth="1"/>
    <col min="15105" max="15105" width="26.44140625" customWidth="1"/>
    <col min="15106" max="15106" width="13.33203125" customWidth="1"/>
    <col min="15107" max="15107" width="12.5546875" customWidth="1"/>
    <col min="15108" max="15108" width="14.109375" customWidth="1"/>
    <col min="15109" max="15109" width="11.88671875" customWidth="1"/>
    <col min="15361" max="15361" width="26.44140625" customWidth="1"/>
    <col min="15362" max="15362" width="13.33203125" customWidth="1"/>
    <col min="15363" max="15363" width="12.5546875" customWidth="1"/>
    <col min="15364" max="15364" width="14.109375" customWidth="1"/>
    <col min="15365" max="15365" width="11.88671875" customWidth="1"/>
    <col min="15617" max="15617" width="26.44140625" customWidth="1"/>
    <col min="15618" max="15618" width="13.33203125" customWidth="1"/>
    <col min="15619" max="15619" width="12.5546875" customWidth="1"/>
    <col min="15620" max="15620" width="14.109375" customWidth="1"/>
    <col min="15621" max="15621" width="11.88671875" customWidth="1"/>
    <col min="15873" max="15873" width="26.44140625" customWidth="1"/>
    <col min="15874" max="15874" width="13.33203125" customWidth="1"/>
    <col min="15875" max="15875" width="12.5546875" customWidth="1"/>
    <col min="15876" max="15876" width="14.109375" customWidth="1"/>
    <col min="15877" max="15877" width="11.88671875" customWidth="1"/>
    <col min="16129" max="16129" width="26.44140625" customWidth="1"/>
    <col min="16130" max="16130" width="13.33203125" customWidth="1"/>
    <col min="16131" max="16131" width="12.5546875" customWidth="1"/>
    <col min="16132" max="16132" width="14.109375" customWidth="1"/>
    <col min="16133" max="16133" width="11.88671875" customWidth="1"/>
  </cols>
  <sheetData>
    <row r="1" spans="1:7" ht="20.25">
      <c r="A1" s="38" t="s">
        <v>22</v>
      </c>
      <c r="B1" s="38"/>
      <c r="C1" s="38"/>
      <c r="D1" s="38"/>
      <c r="E1" s="38"/>
      <c r="F1" s="38"/>
      <c r="G1" s="39"/>
    </row>
    <row r="2" spans="1:7">
      <c r="A2" s="40" t="s">
        <v>23</v>
      </c>
      <c r="B2" s="41" t="s">
        <v>24</v>
      </c>
      <c r="C2" s="41" t="s">
        <v>25</v>
      </c>
      <c r="D2" s="41" t="s">
        <v>26</v>
      </c>
      <c r="E2" s="42" t="s">
        <v>27</v>
      </c>
      <c r="F2" s="43" t="s">
        <v>28</v>
      </c>
      <c r="G2" s="44"/>
    </row>
    <row r="3" spans="1:7">
      <c r="A3" s="45" t="s">
        <v>29</v>
      </c>
      <c r="B3" s="5">
        <f>B4/$F$4</f>
        <v>0.48245614035087719</v>
      </c>
      <c r="C3" s="5">
        <f t="shared" ref="C3:F3" si="0">C4/$F$4</f>
        <v>0.57894736842105265</v>
      </c>
      <c r="D3" s="5">
        <f t="shared" si="0"/>
        <v>0.69517543859649122</v>
      </c>
      <c r="E3" s="5">
        <f t="shared" si="0"/>
        <v>0.83333333333333337</v>
      </c>
      <c r="F3" s="5">
        <f t="shared" si="0"/>
        <v>1</v>
      </c>
      <c r="G3" s="46"/>
    </row>
    <row r="4" spans="1:7">
      <c r="A4" s="30" t="s">
        <v>30</v>
      </c>
      <c r="B4" s="31">
        <f>Hoja1!C5</f>
        <v>220</v>
      </c>
      <c r="C4" s="31">
        <f>Hoja1!D5</f>
        <v>264</v>
      </c>
      <c r="D4" s="31">
        <f>Hoja1!E5</f>
        <v>317</v>
      </c>
      <c r="E4" s="31">
        <f>Hoja1!F5</f>
        <v>380</v>
      </c>
      <c r="F4" s="31">
        <f>Hoja1!G5</f>
        <v>456</v>
      </c>
      <c r="G4" s="47"/>
    </row>
    <row r="5" spans="1:7">
      <c r="A5" s="48" t="s">
        <v>31</v>
      </c>
      <c r="B5" s="50">
        <v>50000</v>
      </c>
      <c r="C5" s="50">
        <v>50000</v>
      </c>
      <c r="D5" s="50">
        <v>50000</v>
      </c>
      <c r="E5" s="50">
        <v>50000</v>
      </c>
      <c r="F5" s="50">
        <v>50000</v>
      </c>
      <c r="G5" s="49"/>
    </row>
    <row r="6" spans="1:7">
      <c r="A6" s="48" t="s">
        <v>32</v>
      </c>
      <c r="B6" s="50">
        <f>B4*B5</f>
        <v>11000000</v>
      </c>
      <c r="C6" s="50">
        <f t="shared" ref="C6:F6" si="1">C4*C5</f>
        <v>13200000</v>
      </c>
      <c r="D6" s="50">
        <f t="shared" si="1"/>
        <v>15850000</v>
      </c>
      <c r="E6" s="50">
        <f t="shared" si="1"/>
        <v>19000000</v>
      </c>
      <c r="F6" s="50">
        <f t="shared" si="1"/>
        <v>22800000</v>
      </c>
      <c r="G6" s="49"/>
    </row>
    <row r="7" spans="1:7" ht="15.75">
      <c r="A7" s="51" t="s">
        <v>33</v>
      </c>
      <c r="B7" s="52"/>
      <c r="C7" s="52"/>
      <c r="D7" s="52"/>
      <c r="E7" s="52"/>
      <c r="F7" s="52"/>
      <c r="G7" s="53"/>
    </row>
    <row r="8" spans="1:7">
      <c r="A8" s="30" t="s">
        <v>6</v>
      </c>
      <c r="B8" s="31">
        <f>Hoja1!C15</f>
        <v>660000</v>
      </c>
      <c r="C8" s="31">
        <f>Hoja1!D15</f>
        <v>950400</v>
      </c>
      <c r="D8" s="31">
        <f>Hoja1!E15</f>
        <v>1369440</v>
      </c>
      <c r="E8" s="31">
        <f>Hoja1!F15</f>
        <v>1969920</v>
      </c>
      <c r="F8" s="31">
        <f>Hoja1!G15</f>
        <v>2836776</v>
      </c>
      <c r="G8" s="53"/>
    </row>
    <row r="9" spans="1:7">
      <c r="A9" s="54" t="s">
        <v>7</v>
      </c>
      <c r="B9" s="31">
        <f>Hoja1!C16</f>
        <v>1044357</v>
      </c>
      <c r="C9" s="31">
        <f>Hoja1!D16</f>
        <v>1044357</v>
      </c>
      <c r="D9" s="31">
        <f>Hoja1!E16</f>
        <v>1044357</v>
      </c>
      <c r="E9" s="31">
        <f>Hoja1!F16</f>
        <v>1044357</v>
      </c>
      <c r="F9" s="31">
        <f>Hoja1!G16</f>
        <v>1044357</v>
      </c>
      <c r="G9" s="53"/>
    </row>
    <row r="10" spans="1:7">
      <c r="A10" s="54" t="s">
        <v>8</v>
      </c>
      <c r="B10" s="31">
        <f>Hoja1!C17</f>
        <v>551546</v>
      </c>
      <c r="C10" s="31">
        <f>Hoja1!D17</f>
        <v>551546</v>
      </c>
      <c r="D10" s="31">
        <f>Hoja1!E17</f>
        <v>551546</v>
      </c>
      <c r="E10" s="31">
        <f>Hoja1!F17</f>
        <v>551546</v>
      </c>
      <c r="F10" s="31">
        <f>Hoja1!G17</f>
        <v>551546</v>
      </c>
      <c r="G10" s="53"/>
    </row>
    <row r="11" spans="1:7" ht="15.75">
      <c r="A11" s="55" t="s">
        <v>34</v>
      </c>
      <c r="B11" s="56">
        <f>SUM(B8:B10)</f>
        <v>2255903</v>
      </c>
      <c r="C11" s="56">
        <f t="shared" ref="C11:F11" si="2">SUM(C8:C10)</f>
        <v>2546303</v>
      </c>
      <c r="D11" s="56">
        <f t="shared" si="2"/>
        <v>2965343</v>
      </c>
      <c r="E11" s="56">
        <f t="shared" si="2"/>
        <v>3565823</v>
      </c>
      <c r="F11" s="56">
        <f t="shared" si="2"/>
        <v>4432679</v>
      </c>
      <c r="G11" s="57"/>
    </row>
    <row r="12" spans="1:7" ht="15.75">
      <c r="A12" s="58" t="s">
        <v>35</v>
      </c>
      <c r="B12" s="59">
        <f>B11/B4</f>
        <v>10254.104545454546</v>
      </c>
      <c r="C12" s="59">
        <f t="shared" ref="C12:F12" si="3">C11/C4</f>
        <v>9645.0871212121219</v>
      </c>
      <c r="D12" s="59">
        <f t="shared" si="3"/>
        <v>9354.3943217665619</v>
      </c>
      <c r="E12" s="59">
        <f t="shared" si="3"/>
        <v>9383.7447368421053</v>
      </c>
      <c r="F12" s="59">
        <f t="shared" si="3"/>
        <v>9720.7872807017538</v>
      </c>
      <c r="G12" s="60"/>
    </row>
    <row r="13" spans="1:7" ht="15.75">
      <c r="A13" s="51" t="s">
        <v>36</v>
      </c>
      <c r="B13" s="52"/>
      <c r="C13" s="52"/>
      <c r="D13" s="52"/>
      <c r="E13" s="52"/>
      <c r="F13" s="52"/>
      <c r="G13" s="53"/>
    </row>
    <row r="14" spans="1:7">
      <c r="A14" s="54" t="s">
        <v>37</v>
      </c>
      <c r="B14" s="31">
        <f>Hoja1!C20</f>
        <v>2410835</v>
      </c>
      <c r="C14" s="31">
        <f>Hoja1!D20</f>
        <v>2410835</v>
      </c>
      <c r="D14" s="31">
        <f>Hoja1!E20</f>
        <v>2410835</v>
      </c>
      <c r="E14" s="31">
        <f>Hoja1!F20</f>
        <v>2410835</v>
      </c>
      <c r="F14" s="31">
        <f>Hoja1!G20</f>
        <v>2410835</v>
      </c>
      <c r="G14" s="53"/>
    </row>
    <row r="15" spans="1:7">
      <c r="A15" s="54" t="s">
        <v>38</v>
      </c>
      <c r="B15" s="31">
        <f>Hoja1!C21</f>
        <v>2027867</v>
      </c>
      <c r="C15" s="31">
        <f>Hoja1!D21</f>
        <v>1845071</v>
      </c>
      <c r="D15" s="31">
        <f>Hoja1!E21</f>
        <v>1873088</v>
      </c>
      <c r="E15" s="31">
        <f>Hoja1!F21</f>
        <v>1937296</v>
      </c>
      <c r="F15" s="31">
        <f>Hoja1!G21</f>
        <v>1980988</v>
      </c>
      <c r="G15" s="53"/>
    </row>
    <row r="16" spans="1:7">
      <c r="A16" s="54" t="s">
        <v>13</v>
      </c>
      <c r="B16" s="31">
        <f>Hoja1!C22</f>
        <v>432000</v>
      </c>
      <c r="C16" s="31">
        <f>Hoja1!D22</f>
        <v>432000</v>
      </c>
      <c r="D16" s="31">
        <f>Hoja1!E22</f>
        <v>432000</v>
      </c>
      <c r="E16" s="31">
        <f>Hoja1!F22</f>
        <v>432000</v>
      </c>
      <c r="F16" s="31">
        <f>Hoja1!G22</f>
        <v>432000</v>
      </c>
      <c r="G16" s="53"/>
    </row>
    <row r="17" spans="1:13">
      <c r="A17" s="54" t="s">
        <v>14</v>
      </c>
      <c r="B17" s="31">
        <f>Hoja1!C23</f>
        <v>188448</v>
      </c>
      <c r="C17" s="31">
        <f>Hoja1!D23</f>
        <v>188448</v>
      </c>
      <c r="D17" s="31">
        <f>Hoja1!E23</f>
        <v>188448</v>
      </c>
      <c r="E17" s="31">
        <f>Hoja1!F23</f>
        <v>188448</v>
      </c>
      <c r="F17" s="31">
        <f>Hoja1!G23</f>
        <v>188448</v>
      </c>
      <c r="G17" s="53"/>
    </row>
    <row r="18" spans="1:13">
      <c r="A18" s="54" t="s">
        <v>9</v>
      </c>
      <c r="B18" s="31">
        <f>Hoja1!C18</f>
        <v>1598012</v>
      </c>
      <c r="C18" s="31">
        <f>Hoja1!D18</f>
        <v>1598012</v>
      </c>
      <c r="D18" s="31">
        <f>Hoja1!E18</f>
        <v>1598012</v>
      </c>
      <c r="E18" s="31">
        <f>Hoja1!F18</f>
        <v>1598012</v>
      </c>
      <c r="F18" s="31">
        <f>Hoja1!G18</f>
        <v>1598012</v>
      </c>
      <c r="G18" s="53"/>
    </row>
    <row r="19" spans="1:13">
      <c r="A19" s="54" t="s">
        <v>39</v>
      </c>
      <c r="B19" s="31">
        <f>Hoja1!C26</f>
        <v>1050000</v>
      </c>
      <c r="C19" s="31">
        <f>Hoja1!D26</f>
        <v>911646.40428406186</v>
      </c>
      <c r="D19" s="31">
        <f>Hoja1!E26</f>
        <v>744238.55346777674</v>
      </c>
      <c r="E19" s="31">
        <f>Hoja1!F26</f>
        <v>541675.0539800718</v>
      </c>
      <c r="F19" s="31">
        <f>Hoja1!G26</f>
        <v>296573.21959994885</v>
      </c>
      <c r="G19" s="53"/>
    </row>
    <row r="20" spans="1:13" ht="15.75">
      <c r="A20" s="55" t="s">
        <v>40</v>
      </c>
      <c r="B20" s="56">
        <f>SUM(B14:B19)</f>
        <v>7707162</v>
      </c>
      <c r="C20" s="56">
        <f t="shared" ref="C20:F20" si="4">SUM(C14:C19)</f>
        <v>7386012.4042840619</v>
      </c>
      <c r="D20" s="56">
        <f t="shared" si="4"/>
        <v>7246621.5534677766</v>
      </c>
      <c r="E20" s="56">
        <f t="shared" si="4"/>
        <v>7108266.053980072</v>
      </c>
      <c r="F20" s="56">
        <f t="shared" si="4"/>
        <v>6906856.2195999492</v>
      </c>
      <c r="G20" s="57"/>
    </row>
    <row r="21" spans="1:13" ht="15.75">
      <c r="A21" s="58" t="s">
        <v>41</v>
      </c>
      <c r="B21" s="61">
        <f>B20/B4</f>
        <v>35032.554545454543</v>
      </c>
      <c r="C21" s="61">
        <f t="shared" ref="C21:F21" si="5">C20/C4</f>
        <v>27977.319713197205</v>
      </c>
      <c r="D21" s="61">
        <f t="shared" si="5"/>
        <v>22860.004900529264</v>
      </c>
      <c r="E21" s="61">
        <f t="shared" si="5"/>
        <v>18705.963299947558</v>
      </c>
      <c r="F21" s="61">
        <f t="shared" si="5"/>
        <v>15146.614516666556</v>
      </c>
      <c r="G21" s="62"/>
    </row>
    <row r="22" spans="1:13" ht="15.75">
      <c r="A22" s="63" t="s">
        <v>42</v>
      </c>
      <c r="B22" s="64">
        <f>B11+B20</f>
        <v>9963065</v>
      </c>
      <c r="C22" s="64">
        <f t="shared" ref="C22:F22" si="6">C11+C20</f>
        <v>9932315.4042840619</v>
      </c>
      <c r="D22" s="64">
        <f t="shared" si="6"/>
        <v>10211964.553467777</v>
      </c>
      <c r="E22" s="64">
        <f t="shared" si="6"/>
        <v>10674089.053980071</v>
      </c>
      <c r="F22" s="64">
        <f t="shared" si="6"/>
        <v>11339535.219599949</v>
      </c>
      <c r="G22" s="65"/>
    </row>
    <row r="23" spans="1:13" ht="15.75">
      <c r="A23" s="66" t="s">
        <v>43</v>
      </c>
      <c r="B23" s="67">
        <f>B22/B4</f>
        <v>45286.659090909088</v>
      </c>
      <c r="C23" s="67">
        <f t="shared" ref="C23:F23" si="7">C22/C4</f>
        <v>37622.406834409325</v>
      </c>
      <c r="D23" s="67">
        <f t="shared" si="7"/>
        <v>32214.399222295826</v>
      </c>
      <c r="E23" s="67">
        <f t="shared" si="7"/>
        <v>28089.70803678966</v>
      </c>
      <c r="F23" s="67">
        <f t="shared" si="7"/>
        <v>24867.401797368311</v>
      </c>
      <c r="G23" s="57"/>
    </row>
    <row r="24" spans="1:13">
      <c r="A24" s="68" t="s">
        <v>44</v>
      </c>
      <c r="B24" s="69">
        <f>B5-B23</f>
        <v>4713.3409090909117</v>
      </c>
      <c r="C24" s="69">
        <f t="shared" ref="C24:F24" si="8">C5-C23</f>
        <v>12377.593165590675</v>
      </c>
      <c r="D24" s="69">
        <f t="shared" si="8"/>
        <v>17785.600777704174</v>
      </c>
      <c r="E24" s="69">
        <f t="shared" si="8"/>
        <v>21910.29196321034</v>
      </c>
      <c r="F24" s="69">
        <f t="shared" si="8"/>
        <v>25132.598202631689</v>
      </c>
      <c r="G24" s="53"/>
    </row>
    <row r="25" spans="1:13">
      <c r="A25" s="70" t="s">
        <v>45</v>
      </c>
      <c r="B25" s="71">
        <f>B24/B23</f>
        <v>0.1040779117671119</v>
      </c>
      <c r="C25" s="71">
        <f t="shared" ref="C25:F25" si="9">C24/C23</f>
        <v>0.32899525062469342</v>
      </c>
      <c r="D25" s="71">
        <f t="shared" si="9"/>
        <v>0.55210096128052666</v>
      </c>
      <c r="E25" s="71">
        <f t="shared" si="9"/>
        <v>0.78001138119748292</v>
      </c>
      <c r="F25" s="71">
        <f t="shared" si="9"/>
        <v>1.0106644195249801</v>
      </c>
      <c r="G25" s="72"/>
    </row>
    <row r="26" spans="1:13">
      <c r="B26" s="73"/>
      <c r="C26" s="73"/>
      <c r="D26" s="73"/>
      <c r="E26" s="73"/>
      <c r="F26" s="73"/>
      <c r="G26" s="73"/>
    </row>
    <row r="27" spans="1:13" ht="20.25">
      <c r="A27" s="38" t="s">
        <v>46</v>
      </c>
      <c r="B27" s="38"/>
      <c r="C27" s="38"/>
      <c r="D27" s="38"/>
      <c r="E27" s="38"/>
      <c r="F27" s="38"/>
      <c r="G27" s="38"/>
      <c r="H27" s="38"/>
      <c r="I27" s="38"/>
    </row>
    <row r="28" spans="1:13">
      <c r="A28" s="74" t="s">
        <v>23</v>
      </c>
      <c r="B28" s="75" t="s">
        <v>47</v>
      </c>
      <c r="C28" s="76"/>
      <c r="D28" s="77" t="s">
        <v>48</v>
      </c>
      <c r="E28" s="78"/>
      <c r="F28" s="79" t="s">
        <v>26</v>
      </c>
      <c r="G28" s="80"/>
      <c r="H28" s="81" t="s">
        <v>27</v>
      </c>
      <c r="I28" s="82"/>
      <c r="J28" s="83" t="s">
        <v>28</v>
      </c>
      <c r="K28" s="83"/>
      <c r="L28" s="84"/>
      <c r="M28" s="84"/>
    </row>
    <row r="29" spans="1:13">
      <c r="A29" s="74"/>
      <c r="B29" s="85" t="s">
        <v>49</v>
      </c>
      <c r="C29" s="85" t="s">
        <v>50</v>
      </c>
      <c r="D29" s="86" t="s">
        <v>49</v>
      </c>
      <c r="E29" s="86" t="s">
        <v>50</v>
      </c>
      <c r="F29" s="85" t="s">
        <v>49</v>
      </c>
      <c r="G29" s="85" t="s">
        <v>50</v>
      </c>
      <c r="H29" s="86" t="s">
        <v>49</v>
      </c>
      <c r="I29" s="86" t="s">
        <v>50</v>
      </c>
      <c r="J29" s="85" t="s">
        <v>49</v>
      </c>
      <c r="K29" s="85" t="s">
        <v>50</v>
      </c>
      <c r="L29" s="87"/>
      <c r="M29" s="87"/>
    </row>
    <row r="30" spans="1:13">
      <c r="A30" s="88" t="s">
        <v>51</v>
      </c>
      <c r="B30" s="89">
        <f>B6</f>
        <v>11000000</v>
      </c>
      <c r="C30" s="90">
        <f>B30/$B$30</f>
        <v>1</v>
      </c>
      <c r="D30" s="91">
        <f>C6</f>
        <v>13200000</v>
      </c>
      <c r="E30" s="92">
        <f>D30/$D$30</f>
        <v>1</v>
      </c>
      <c r="F30" s="89">
        <f>D6</f>
        <v>15850000</v>
      </c>
      <c r="G30" s="92">
        <f>F30/$F$30</f>
        <v>1</v>
      </c>
      <c r="H30" s="89">
        <f>E6</f>
        <v>19000000</v>
      </c>
      <c r="I30" s="93">
        <f>+H30/$H$30</f>
        <v>1</v>
      </c>
      <c r="J30" s="89">
        <f>F6</f>
        <v>22800000</v>
      </c>
      <c r="K30" s="92">
        <f>J30/$J$30</f>
        <v>1</v>
      </c>
      <c r="L30" s="69"/>
      <c r="M30" s="94"/>
    </row>
    <row r="31" spans="1:13">
      <c r="A31" s="88" t="s">
        <v>52</v>
      </c>
      <c r="B31" s="89">
        <f>B11</f>
        <v>2255903</v>
      </c>
      <c r="C31" s="90">
        <f>B31/$B$30</f>
        <v>0.20508209090909091</v>
      </c>
      <c r="D31" s="91">
        <f>C11</f>
        <v>2546303</v>
      </c>
      <c r="E31" s="92">
        <f t="shared" ref="E31:E32" si="10">D31/$D$30</f>
        <v>0.19290174242424243</v>
      </c>
      <c r="F31" s="89">
        <f>D11</f>
        <v>2965343</v>
      </c>
      <c r="G31" s="92">
        <f>F31/$F$30</f>
        <v>0.18708788643533122</v>
      </c>
      <c r="H31" s="89">
        <f>E11</f>
        <v>3565823</v>
      </c>
      <c r="I31" s="93">
        <f>+H31/$H$30</f>
        <v>0.1876748947368421</v>
      </c>
      <c r="J31" s="89">
        <f>F11</f>
        <v>4432679</v>
      </c>
      <c r="K31" s="92">
        <f t="shared" ref="K31:K32" si="11">J31/$J$30</f>
        <v>0.1944157456140351</v>
      </c>
      <c r="L31" s="69"/>
      <c r="M31" s="94"/>
    </row>
    <row r="32" spans="1:13">
      <c r="A32" s="88" t="s">
        <v>53</v>
      </c>
      <c r="B32" s="89">
        <f>B30-B31</f>
        <v>8744097</v>
      </c>
      <c r="C32" s="90">
        <f>B32/$B$30</f>
        <v>0.79491790909090909</v>
      </c>
      <c r="D32" s="91">
        <f>D30-D31</f>
        <v>10653697</v>
      </c>
      <c r="E32" s="92">
        <f t="shared" si="10"/>
        <v>0.80709825757575759</v>
      </c>
      <c r="F32" s="89">
        <f>F30-F31</f>
        <v>12884657</v>
      </c>
      <c r="G32" s="92">
        <f>F32/$F$30</f>
        <v>0.81291211356466875</v>
      </c>
      <c r="H32" s="89">
        <f>+H30-H31</f>
        <v>15434177</v>
      </c>
      <c r="I32" s="93">
        <f>+H32/$H$30</f>
        <v>0.81232510526315793</v>
      </c>
      <c r="J32" s="89">
        <f>J30-J31</f>
        <v>18367321</v>
      </c>
      <c r="K32" s="92">
        <f t="shared" si="11"/>
        <v>0.80558425438596493</v>
      </c>
      <c r="L32" s="69"/>
      <c r="M32" s="94"/>
    </row>
    <row r="33" spans="1:13">
      <c r="A33" s="88"/>
      <c r="B33" s="95"/>
      <c r="C33" s="90"/>
      <c r="D33" s="89"/>
      <c r="E33" s="95"/>
      <c r="F33" s="89"/>
      <c r="G33" s="95"/>
      <c r="H33" s="89"/>
      <c r="I33" s="88"/>
      <c r="J33" s="89"/>
      <c r="K33" s="88"/>
      <c r="L33" s="69"/>
      <c r="M33" s="30"/>
    </row>
    <row r="34" spans="1:13">
      <c r="A34" s="88" t="s">
        <v>54</v>
      </c>
      <c r="B34" s="89">
        <f>B20/C32</f>
        <v>9695544.5485108402</v>
      </c>
      <c r="C34" s="90"/>
      <c r="D34" s="89">
        <f>C20/E32</f>
        <v>9151317.4944387488</v>
      </c>
      <c r="E34" s="95"/>
      <c r="F34" s="89">
        <f>D20/G32</f>
        <v>8914397.3038990684</v>
      </c>
      <c r="G34" s="95"/>
      <c r="H34" s="89">
        <f>E20/I32</f>
        <v>8750518.7368021868</v>
      </c>
      <c r="I34" s="95"/>
      <c r="J34" s="89">
        <f>F20/K32</f>
        <v>8573722.9619321637</v>
      </c>
      <c r="K34" s="88"/>
      <c r="L34" s="69"/>
      <c r="M34" s="30"/>
    </row>
    <row r="35" spans="1:13">
      <c r="A35" s="88"/>
      <c r="B35" s="95"/>
      <c r="C35" s="90"/>
      <c r="D35" s="89"/>
      <c r="E35" s="95"/>
      <c r="F35" s="89"/>
      <c r="G35" s="95"/>
      <c r="H35" s="89"/>
      <c r="I35" s="95"/>
      <c r="J35" s="89"/>
      <c r="K35" s="88"/>
      <c r="L35" s="69"/>
      <c r="M35" s="30"/>
    </row>
    <row r="36" spans="1:13">
      <c r="A36" s="88" t="s">
        <v>55</v>
      </c>
      <c r="B36" s="89">
        <f>B34/B5</f>
        <v>193.9108909702168</v>
      </c>
      <c r="C36" s="90"/>
      <c r="D36" s="89">
        <f>D34/C5</f>
        <v>183.02634988877497</v>
      </c>
      <c r="E36" s="95"/>
      <c r="F36" s="89">
        <f>F34/D5</f>
        <v>178.28794607798136</v>
      </c>
      <c r="G36" s="95"/>
      <c r="H36" s="89">
        <f>+H34/E5</f>
        <v>175.01037473604373</v>
      </c>
      <c r="I36" s="95"/>
      <c r="J36" s="89">
        <f>J34/F5</f>
        <v>171.47445923864328</v>
      </c>
      <c r="K36" s="88"/>
      <c r="L36" s="69"/>
      <c r="M36" s="30"/>
    </row>
    <row r="37" spans="1:13">
      <c r="A37" s="88"/>
      <c r="B37" s="95"/>
      <c r="C37" s="90"/>
      <c r="D37" s="89"/>
      <c r="E37" s="95"/>
      <c r="F37" s="89"/>
      <c r="G37" s="95"/>
      <c r="H37" s="89"/>
      <c r="I37" s="95"/>
      <c r="J37" s="89"/>
      <c r="K37" s="88"/>
      <c r="L37" s="69"/>
      <c r="M37" s="30"/>
    </row>
    <row r="38" spans="1:13">
      <c r="A38" s="88" t="s">
        <v>56</v>
      </c>
      <c r="B38" s="96">
        <f>B32/B4</f>
        <v>39745.895454545454</v>
      </c>
      <c r="C38" s="90"/>
      <c r="D38" s="89">
        <f>D32/C4</f>
        <v>40354.91287878788</v>
      </c>
      <c r="E38" s="95"/>
      <c r="F38" s="89">
        <f>F32/D4</f>
        <v>40645.605678233442</v>
      </c>
      <c r="G38" s="95"/>
      <c r="H38" s="89">
        <f>H32/E4</f>
        <v>40616.255263157895</v>
      </c>
      <c r="I38" s="95"/>
      <c r="J38" s="89">
        <f>J32/F4</f>
        <v>40279.212719298244</v>
      </c>
      <c r="K38" s="88"/>
      <c r="L38" s="69"/>
      <c r="M38" s="30"/>
    </row>
    <row r="39" spans="1:13">
      <c r="A39" s="88"/>
      <c r="B39" s="95"/>
      <c r="C39" s="90"/>
      <c r="D39" s="89"/>
      <c r="E39" s="95"/>
      <c r="F39" s="89"/>
      <c r="G39" s="95"/>
      <c r="H39" s="89"/>
      <c r="I39" s="95"/>
      <c r="J39" s="89"/>
      <c r="K39" s="88"/>
      <c r="L39" s="69"/>
      <c r="M39" s="30"/>
    </row>
    <row r="40" spans="1:13">
      <c r="A40" s="88" t="s">
        <v>57</v>
      </c>
      <c r="B40" s="89">
        <f>B20/B38</f>
        <v>193.91089097021683</v>
      </c>
      <c r="C40" s="90"/>
      <c r="D40" s="89">
        <f>C20/D38</f>
        <v>183.02634988877497</v>
      </c>
      <c r="E40" s="95"/>
      <c r="F40" s="89">
        <f>D20/F38</f>
        <v>178.28794607798136</v>
      </c>
      <c r="G40" s="95"/>
      <c r="H40" s="89">
        <f>E20/H38</f>
        <v>175.01037473604373</v>
      </c>
      <c r="I40" s="95"/>
      <c r="J40" s="89">
        <f>F20/J38</f>
        <v>171.47445923864328</v>
      </c>
      <c r="K40" s="88"/>
      <c r="L40" s="69"/>
      <c r="M40" s="30"/>
    </row>
    <row r="41" spans="1:13">
      <c r="B41" s="7"/>
      <c r="C41" s="97"/>
      <c r="D41" s="7"/>
      <c r="E41" s="7"/>
      <c r="F41" s="73"/>
      <c r="G41" s="7"/>
    </row>
    <row r="42" spans="1:13">
      <c r="B42" s="7"/>
      <c r="C42" s="97"/>
      <c r="D42" s="7"/>
      <c r="E42" s="7"/>
      <c r="F42" s="7"/>
      <c r="G42" s="7"/>
      <c r="I42" s="7"/>
    </row>
    <row r="43" spans="1:13">
      <c r="B43" s="7"/>
      <c r="C43" s="98"/>
      <c r="D43" s="7"/>
      <c r="E43" s="7"/>
      <c r="F43" s="7"/>
      <c r="G43" s="7"/>
    </row>
    <row r="44" spans="1:13">
      <c r="B44" s="7"/>
      <c r="C44" s="97"/>
      <c r="D44" s="7"/>
      <c r="E44" s="7"/>
      <c r="F44" s="7"/>
      <c r="G44" s="7"/>
    </row>
    <row r="45" spans="1:13">
      <c r="B45" s="99" t="s">
        <v>58</v>
      </c>
      <c r="C45" s="99"/>
      <c r="D45" s="99"/>
      <c r="E45" s="99"/>
      <c r="F45" s="7"/>
      <c r="G45" s="7"/>
    </row>
    <row r="46" spans="1:13">
      <c r="B46" s="100" t="s">
        <v>59</v>
      </c>
      <c r="C46" s="100" t="s">
        <v>51</v>
      </c>
      <c r="D46" s="100" t="s">
        <v>60</v>
      </c>
      <c r="E46" s="100" t="s">
        <v>61</v>
      </c>
      <c r="F46" s="101"/>
      <c r="G46" s="7"/>
    </row>
    <row r="47" spans="1:13">
      <c r="B47" s="95">
        <v>0</v>
      </c>
      <c r="C47" s="95">
        <v>0</v>
      </c>
      <c r="D47" s="89">
        <f>B20</f>
        <v>7707162</v>
      </c>
      <c r="E47" s="89">
        <f>D47</f>
        <v>7707162</v>
      </c>
      <c r="F47" s="7"/>
      <c r="G47" s="7"/>
    </row>
    <row r="48" spans="1:13">
      <c r="B48" s="95">
        <f>B4</f>
        <v>220</v>
      </c>
      <c r="C48" s="95">
        <f>B30</f>
        <v>11000000</v>
      </c>
      <c r="D48" s="89">
        <f>B20</f>
        <v>7707162</v>
      </c>
      <c r="E48" s="89">
        <f>B22</f>
        <v>9963065</v>
      </c>
      <c r="F48" s="7"/>
      <c r="G48" s="7"/>
    </row>
    <row r="49" spans="2:7">
      <c r="B49" s="7"/>
      <c r="C49" s="7"/>
      <c r="D49" s="7"/>
      <c r="E49" s="7"/>
      <c r="F49" s="7"/>
      <c r="G49" s="7"/>
    </row>
  </sheetData>
  <mergeCells count="9">
    <mergeCell ref="J28:K28"/>
    <mergeCell ref="L28:M28"/>
    <mergeCell ref="B45:E45"/>
    <mergeCell ref="A1:G1"/>
    <mergeCell ref="A27:I27"/>
    <mergeCell ref="B28:C28"/>
    <mergeCell ref="D28:E28"/>
    <mergeCell ref="F28:G28"/>
    <mergeCell ref="H28:I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3"/>
  <sheetViews>
    <sheetView tabSelected="1" topLeftCell="A140" workbookViewId="0">
      <selection activeCell="E67" sqref="E67:E143"/>
    </sheetView>
  </sheetViews>
  <sheetFormatPr baseColWidth="10" defaultRowHeight="15"/>
  <cols>
    <col min="1" max="1" width="35.21875" customWidth="1"/>
    <col min="2" max="2" width="16.109375" customWidth="1"/>
    <col min="3" max="3" width="12.44140625" bestFit="1" customWidth="1"/>
    <col min="4" max="4" width="13.33203125" bestFit="1" customWidth="1"/>
    <col min="5" max="5" width="12.44140625" bestFit="1" customWidth="1"/>
    <col min="6" max="6" width="12.88671875" bestFit="1" customWidth="1"/>
    <col min="7" max="7" width="15.21875" customWidth="1"/>
  </cols>
  <sheetData>
    <row r="1" spans="1:10" ht="15.75">
      <c r="A1" s="102" t="s">
        <v>62</v>
      </c>
      <c r="B1" s="102"/>
      <c r="C1" s="102"/>
      <c r="D1" s="102"/>
      <c r="E1" s="102"/>
      <c r="F1" s="102"/>
      <c r="G1" s="102"/>
      <c r="H1" s="102"/>
      <c r="I1" s="103"/>
      <c r="J1" s="103"/>
    </row>
    <row r="2" spans="1:10" ht="22.5" customHeight="1">
      <c r="A2" s="20" t="s">
        <v>63</v>
      </c>
      <c r="B2" s="20"/>
      <c r="C2" s="20"/>
      <c r="D2" s="20"/>
      <c r="E2" s="20"/>
      <c r="F2" s="20"/>
      <c r="G2" s="20"/>
      <c r="H2" s="20"/>
      <c r="I2" s="104"/>
      <c r="J2" s="104"/>
    </row>
    <row r="3" spans="1:10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>
      <c r="A4" s="8" t="s">
        <v>1</v>
      </c>
      <c r="B4" s="23" t="s">
        <v>2</v>
      </c>
      <c r="C4" s="22" t="s">
        <v>3</v>
      </c>
      <c r="D4" s="22"/>
      <c r="E4" s="22"/>
      <c r="F4" s="22"/>
      <c r="G4" s="22"/>
      <c r="H4" s="106" t="s">
        <v>64</v>
      </c>
      <c r="I4" s="30"/>
    </row>
    <row r="5" spans="1:10">
      <c r="A5" s="2" t="s">
        <v>4</v>
      </c>
      <c r="B5" s="3">
        <v>1</v>
      </c>
      <c r="C5" s="3">
        <v>2</v>
      </c>
      <c r="D5" s="4">
        <v>3</v>
      </c>
      <c r="E5" s="3">
        <v>4</v>
      </c>
      <c r="F5" s="3">
        <v>5</v>
      </c>
      <c r="G5" s="3">
        <v>6</v>
      </c>
      <c r="H5" s="107"/>
      <c r="I5" s="21"/>
    </row>
    <row r="6" spans="1:10">
      <c r="A6" s="1" t="s">
        <v>5</v>
      </c>
      <c r="B6" s="1"/>
      <c r="C6" s="5">
        <f>Hoja2!B3</f>
        <v>0.48245614035087719</v>
      </c>
      <c r="D6" s="5">
        <f>Hoja2!C3</f>
        <v>0.57894736842105265</v>
      </c>
      <c r="E6" s="5">
        <f>Hoja2!D3</f>
        <v>0.69517543859649122</v>
      </c>
      <c r="F6" s="5">
        <f>Hoja2!E3</f>
        <v>0.83333333333333337</v>
      </c>
      <c r="G6" s="5">
        <f>Hoja2!F3</f>
        <v>1</v>
      </c>
      <c r="H6" s="108"/>
      <c r="I6" s="109"/>
    </row>
    <row r="7" spans="1:10">
      <c r="A7" s="110" t="s">
        <v>65</v>
      </c>
      <c r="I7" s="30"/>
    </row>
    <row r="8" spans="1:10">
      <c r="A8" s="110" t="s">
        <v>66</v>
      </c>
      <c r="B8" s="7">
        <f>[1]Hoja1!B138</f>
        <v>5000000</v>
      </c>
      <c r="C8" s="7"/>
      <c r="D8" s="7"/>
      <c r="E8" s="7"/>
      <c r="F8" s="7"/>
      <c r="G8" s="7"/>
      <c r="H8" s="7"/>
      <c r="I8" s="30"/>
    </row>
    <row r="9" spans="1:10">
      <c r="A9" s="110" t="s">
        <v>67</v>
      </c>
      <c r="B9" s="7"/>
      <c r="C9" s="7">
        <f>Hoja2!B6</f>
        <v>11000000</v>
      </c>
      <c r="D9" s="7">
        <f>Hoja2!C6</f>
        <v>13200000</v>
      </c>
      <c r="E9" s="7">
        <f>Hoja2!D6</f>
        <v>15850000</v>
      </c>
      <c r="F9" s="7">
        <f>Hoja2!E6</f>
        <v>19000000</v>
      </c>
      <c r="G9" s="7">
        <f>Hoja2!F6</f>
        <v>22800000</v>
      </c>
      <c r="H9" s="7"/>
      <c r="I9" s="69"/>
    </row>
    <row r="10" spans="1:10">
      <c r="A10" s="110" t="s">
        <v>68</v>
      </c>
      <c r="B10" s="7"/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/>
      <c r="I10" s="111"/>
    </row>
    <row r="11" spans="1:10">
      <c r="A11" s="110" t="s">
        <v>69</v>
      </c>
      <c r="B11" s="7"/>
      <c r="C11" s="7"/>
      <c r="D11" s="7"/>
      <c r="E11" s="7"/>
      <c r="F11" s="7"/>
      <c r="G11" s="7"/>
      <c r="H11" s="7">
        <v>1500000</v>
      </c>
      <c r="I11" s="30"/>
    </row>
    <row r="12" spans="1:10" ht="21.75" customHeight="1">
      <c r="A12" s="11" t="s">
        <v>70</v>
      </c>
      <c r="B12" s="112">
        <f>B8+B9+B10+B11</f>
        <v>5000000</v>
      </c>
      <c r="C12" s="112">
        <f t="shared" ref="C12:G12" si="0">C8+C9+C10+C11</f>
        <v>11000000</v>
      </c>
      <c r="D12" s="112">
        <f t="shared" si="0"/>
        <v>13200000</v>
      </c>
      <c r="E12" s="112">
        <f t="shared" si="0"/>
        <v>15850000</v>
      </c>
      <c r="F12" s="112">
        <f t="shared" si="0"/>
        <v>19000000</v>
      </c>
      <c r="G12" s="112">
        <f t="shared" si="0"/>
        <v>22800000</v>
      </c>
      <c r="H12" s="112">
        <f>H8+H9+H10+H11</f>
        <v>1500000</v>
      </c>
      <c r="I12" s="113"/>
    </row>
    <row r="13" spans="1:10" ht="19.5" customHeight="1">
      <c r="A13" s="110" t="s">
        <v>71</v>
      </c>
    </row>
    <row r="14" spans="1:10">
      <c r="A14" s="110" t="s">
        <v>72</v>
      </c>
      <c r="B14" s="7">
        <v>10299000</v>
      </c>
      <c r="C14" s="7">
        <v>250000</v>
      </c>
      <c r="D14" s="7">
        <v>824000</v>
      </c>
      <c r="E14" s="7">
        <v>1123000</v>
      </c>
      <c r="F14" s="7">
        <v>1197000</v>
      </c>
      <c r="G14" s="7">
        <v>1206000</v>
      </c>
      <c r="H14" s="7">
        <f>[1]Hoja4!H17</f>
        <v>0</v>
      </c>
      <c r="I14" s="111"/>
    </row>
    <row r="15" spans="1:10" ht="30">
      <c r="A15" s="110" t="s">
        <v>73</v>
      </c>
      <c r="B15" s="7"/>
      <c r="C15" s="7">
        <f>Hoja1!C28</f>
        <v>7126605</v>
      </c>
      <c r="D15" s="7">
        <f>Hoja1!D28</f>
        <v>7234209</v>
      </c>
      <c r="E15" s="7">
        <f>Hoja1!E28</f>
        <v>7681266</v>
      </c>
      <c r="F15" s="7">
        <f>Hoja1!F28</f>
        <v>8345954</v>
      </c>
      <c r="G15" s="7">
        <f>Hoja1!G28</f>
        <v>9256502</v>
      </c>
      <c r="H15" s="7">
        <f>[1]Hoja3!H109</f>
        <v>0</v>
      </c>
      <c r="I15" s="111"/>
    </row>
    <row r="16" spans="1:10">
      <c r="A16" s="110" t="s">
        <v>74</v>
      </c>
      <c r="B16" s="7"/>
      <c r="C16" s="7">
        <f>Hoja2!B19</f>
        <v>1050000</v>
      </c>
      <c r="D16" s="7">
        <f>Hoja2!C19</f>
        <v>911646.40428406186</v>
      </c>
      <c r="E16" s="7">
        <f>Hoja2!D19</f>
        <v>744238.55346777674</v>
      </c>
      <c r="F16" s="7">
        <f>Hoja2!E19</f>
        <v>541675.0539800718</v>
      </c>
      <c r="G16" s="7">
        <f>Hoja2!F19</f>
        <v>296573.21959994885</v>
      </c>
      <c r="H16" s="7">
        <f>[1]Hoja1!J135</f>
        <v>0</v>
      </c>
      <c r="I16" s="30"/>
    </row>
    <row r="17" spans="1:9">
      <c r="A17" s="110" t="s">
        <v>75</v>
      </c>
      <c r="B17" s="7"/>
      <c r="C17" s="7">
        <f>ROUND(658826.646266372,0)</f>
        <v>658827</v>
      </c>
      <c r="D17" s="7">
        <f>ROUND(797180.24198231,0)</f>
        <v>797180</v>
      </c>
      <c r="E17" s="7">
        <v>964588.09279859497</v>
      </c>
      <c r="F17" s="7">
        <v>1167151.5922862999</v>
      </c>
      <c r="G17" s="7">
        <v>1412253.4266664227</v>
      </c>
      <c r="H17" s="7">
        <f>[1]Hoja1!H136</f>
        <v>0</v>
      </c>
      <c r="I17" s="114"/>
    </row>
    <row r="18" spans="1:9">
      <c r="A18" s="110" t="s">
        <v>76</v>
      </c>
      <c r="B18" s="7"/>
      <c r="C18" s="7">
        <v>342188.55</v>
      </c>
      <c r="D18" s="7">
        <v>1078335.9165862596</v>
      </c>
      <c r="E18" s="7">
        <v>1860551.6973556338</v>
      </c>
      <c r="F18" s="7">
        <v>2747550.6121865767</v>
      </c>
      <c r="G18" s="7">
        <v>3781953.377532017</v>
      </c>
      <c r="H18" s="7">
        <v>0</v>
      </c>
      <c r="I18" s="30"/>
    </row>
    <row r="19" spans="1:9">
      <c r="A19" s="11" t="s">
        <v>77</v>
      </c>
      <c r="B19" s="9">
        <f>B14+B15+B16+B17+B18</f>
        <v>10299000</v>
      </c>
      <c r="C19" s="9">
        <f t="shared" ref="C19:H19" si="1">C14+C15+C16+C17+C18</f>
        <v>9427620.5500000007</v>
      </c>
      <c r="D19" s="9">
        <f t="shared" si="1"/>
        <v>10845371.320870321</v>
      </c>
      <c r="E19" s="9">
        <f t="shared" si="1"/>
        <v>12373644.343622005</v>
      </c>
      <c r="F19" s="9">
        <f t="shared" si="1"/>
        <v>13999331.258452948</v>
      </c>
      <c r="G19" s="9">
        <f t="shared" si="1"/>
        <v>15953282.023798387</v>
      </c>
      <c r="H19" s="9">
        <f t="shared" si="1"/>
        <v>0</v>
      </c>
      <c r="I19" s="111"/>
    </row>
    <row r="20" spans="1:9">
      <c r="A20" s="11" t="s">
        <v>78</v>
      </c>
      <c r="B20" s="9">
        <f>B12-B19</f>
        <v>-5299000</v>
      </c>
      <c r="C20" s="9">
        <f t="shared" ref="C20:H20" si="2">C12-C19</f>
        <v>1572379.4499999993</v>
      </c>
      <c r="D20" s="9">
        <f t="shared" si="2"/>
        <v>2354628.6791296788</v>
      </c>
      <c r="E20" s="9">
        <f t="shared" si="2"/>
        <v>3476355.6563779954</v>
      </c>
      <c r="F20" s="9">
        <f t="shared" si="2"/>
        <v>5000668.7415470518</v>
      </c>
      <c r="G20" s="9">
        <f t="shared" si="2"/>
        <v>6846717.9762016125</v>
      </c>
      <c r="H20" s="9">
        <f t="shared" si="2"/>
        <v>1500000</v>
      </c>
      <c r="I20" s="111"/>
    </row>
    <row r="21" spans="1:9">
      <c r="A21" s="11" t="s">
        <v>63</v>
      </c>
      <c r="B21" s="9">
        <f>B20</f>
        <v>-5299000</v>
      </c>
      <c r="C21" s="9">
        <f t="shared" ref="C21:F21" si="3">C20</f>
        <v>1572379.4499999993</v>
      </c>
      <c r="D21" s="9">
        <f t="shared" si="3"/>
        <v>2354628.6791296788</v>
      </c>
      <c r="E21" s="9">
        <f t="shared" si="3"/>
        <v>3476355.6563779954</v>
      </c>
      <c r="F21" s="9">
        <f t="shared" si="3"/>
        <v>5000668.7415470518</v>
      </c>
      <c r="G21" s="9">
        <f>G20+H20</f>
        <v>8346717.9762016125</v>
      </c>
      <c r="H21" s="9"/>
      <c r="I21" s="111"/>
    </row>
    <row r="22" spans="1:9">
      <c r="A22" s="17"/>
    </row>
    <row r="23" spans="1:9">
      <c r="A23" s="30"/>
      <c r="B23" s="109"/>
      <c r="C23" s="31"/>
      <c r="D23" s="31"/>
      <c r="E23" s="31"/>
      <c r="F23" s="31"/>
      <c r="G23" s="31"/>
      <c r="H23" s="30"/>
    </row>
    <row r="24" spans="1:9" ht="23.25">
      <c r="A24" s="115" t="s">
        <v>79</v>
      </c>
      <c r="B24" s="115"/>
      <c r="C24" s="115"/>
      <c r="D24" s="115"/>
      <c r="E24" s="115"/>
      <c r="F24" s="115"/>
      <c r="G24" s="31"/>
      <c r="H24" s="30"/>
    </row>
    <row r="25" spans="1:9" ht="25.5">
      <c r="A25" s="116" t="s">
        <v>80</v>
      </c>
      <c r="B25" s="117" t="s">
        <v>81</v>
      </c>
      <c r="C25" s="118" t="s">
        <v>82</v>
      </c>
      <c r="D25" s="119" t="s">
        <v>83</v>
      </c>
      <c r="E25" s="120" t="s">
        <v>84</v>
      </c>
      <c r="F25" s="119" t="s">
        <v>85</v>
      </c>
      <c r="G25" s="31"/>
      <c r="H25" s="30"/>
    </row>
    <row r="26" spans="1:9">
      <c r="A26" s="30" t="s">
        <v>86</v>
      </c>
      <c r="B26" s="69">
        <f>B20*-1</f>
        <v>5299000</v>
      </c>
      <c r="C26" s="121">
        <f>B26/$B$28</f>
        <v>0.5145159724245072</v>
      </c>
      <c r="D26" s="122">
        <v>0.1</v>
      </c>
      <c r="E26" s="109">
        <v>0.05</v>
      </c>
      <c r="F26" s="121">
        <f>E26*C26</f>
        <v>2.572579862122536E-2</v>
      </c>
      <c r="G26" s="31"/>
      <c r="H26" s="30"/>
    </row>
    <row r="27" spans="1:9">
      <c r="A27" s="123" t="s">
        <v>87</v>
      </c>
      <c r="B27" s="69">
        <f>[1]Hoja1!B138</f>
        <v>5000000</v>
      </c>
      <c r="C27" s="121">
        <f>B27/$B$28</f>
        <v>0.48548402757549275</v>
      </c>
      <c r="D27" s="122">
        <v>0.21</v>
      </c>
      <c r="E27" s="124">
        <f>D27*(1-0.35)</f>
        <v>0.13650000000000001</v>
      </c>
      <c r="F27" s="121">
        <f>E27*C27</f>
        <v>6.6268569764054763E-2</v>
      </c>
      <c r="G27" s="31"/>
      <c r="H27" s="30"/>
    </row>
    <row r="28" spans="1:9">
      <c r="A28" s="125" t="s">
        <v>88</v>
      </c>
      <c r="B28" s="126">
        <f>SUM(B26:B27)</f>
        <v>10299000</v>
      </c>
      <c r="C28" s="12">
        <f>SUM(C26:C27)</f>
        <v>1</v>
      </c>
      <c r="D28" s="8"/>
      <c r="E28" s="9" t="s">
        <v>89</v>
      </c>
      <c r="F28" s="127">
        <f>SUM(F26:F27)</f>
        <v>9.199436838528012E-2</v>
      </c>
      <c r="G28" s="31"/>
      <c r="H28" s="30"/>
    </row>
    <row r="29" spans="1:9">
      <c r="A29" s="30"/>
      <c r="B29" s="30"/>
      <c r="C29" s="31"/>
      <c r="D29" s="30"/>
      <c r="E29" s="9" t="s">
        <v>90</v>
      </c>
      <c r="F29" s="127">
        <v>0.1</v>
      </c>
      <c r="G29" s="31"/>
      <c r="H29" s="30"/>
    </row>
    <row r="30" spans="1:9">
      <c r="A30" s="30"/>
      <c r="B30" s="30"/>
      <c r="C30" s="30"/>
      <c r="D30" s="30"/>
      <c r="E30" s="1" t="s">
        <v>91</v>
      </c>
      <c r="F30" s="128">
        <f>F28+F29</f>
        <v>0.19199436838528011</v>
      </c>
      <c r="G30" s="30"/>
      <c r="H30" s="30"/>
    </row>
    <row r="31" spans="1:9">
      <c r="A31" s="6" t="s">
        <v>92</v>
      </c>
      <c r="C31" s="129">
        <f>((1+F30)/(1.065))-1</f>
        <v>0.1192435383899344</v>
      </c>
    </row>
    <row r="35" spans="1:10">
      <c r="A35" s="130" t="s">
        <v>93</v>
      </c>
      <c r="B35" s="130"/>
      <c r="C35" s="130"/>
      <c r="D35" s="130"/>
      <c r="E35" s="130"/>
      <c r="F35" s="130"/>
      <c r="G35" s="130"/>
      <c r="H35" s="130"/>
    </row>
    <row r="36" spans="1:10">
      <c r="A36" s="8" t="s">
        <v>1</v>
      </c>
      <c r="B36" s="23" t="s">
        <v>2</v>
      </c>
      <c r="C36" s="23" t="s">
        <v>3</v>
      </c>
      <c r="D36" s="23"/>
      <c r="E36" s="23"/>
      <c r="F36" s="23"/>
      <c r="G36" s="23"/>
      <c r="H36" s="106" t="s">
        <v>64</v>
      </c>
      <c r="I36" s="30"/>
    </row>
    <row r="37" spans="1:10">
      <c r="A37" s="2" t="s">
        <v>4</v>
      </c>
      <c r="B37" s="3">
        <v>1</v>
      </c>
      <c r="C37" s="3">
        <v>2</v>
      </c>
      <c r="D37" s="4">
        <v>3</v>
      </c>
      <c r="E37" s="3">
        <v>4</v>
      </c>
      <c r="F37" s="3">
        <v>5</v>
      </c>
      <c r="G37" s="3">
        <v>6</v>
      </c>
      <c r="H37" s="107"/>
      <c r="I37" s="21"/>
    </row>
    <row r="38" spans="1:10">
      <c r="A38" s="1" t="s">
        <v>5</v>
      </c>
      <c r="B38" s="1"/>
      <c r="C38" s="1"/>
      <c r="D38" s="5">
        <v>0.6</v>
      </c>
      <c r="E38" s="5">
        <v>0.8</v>
      </c>
      <c r="F38" s="5">
        <v>1</v>
      </c>
      <c r="G38" s="5">
        <v>1</v>
      </c>
      <c r="H38" s="108"/>
      <c r="I38" s="109"/>
    </row>
    <row r="39" spans="1:10">
      <c r="A39" s="6" t="s">
        <v>94</v>
      </c>
      <c r="B39" s="31">
        <f>B21</f>
        <v>-5299000</v>
      </c>
      <c r="C39" s="31">
        <f t="shared" ref="C39:G39" si="4">C21</f>
        <v>1572379.4499999993</v>
      </c>
      <c r="D39" s="31">
        <f t="shared" si="4"/>
        <v>2354628.6791296788</v>
      </c>
      <c r="E39" s="31">
        <f t="shared" si="4"/>
        <v>3476355.6563779954</v>
      </c>
      <c r="F39" s="31">
        <f t="shared" si="4"/>
        <v>5000668.7415470518</v>
      </c>
      <c r="G39" s="31">
        <f t="shared" si="4"/>
        <v>8346717.9762016125</v>
      </c>
      <c r="H39" s="31">
        <f>H21</f>
        <v>0</v>
      </c>
      <c r="I39" s="111"/>
    </row>
    <row r="40" spans="1:10">
      <c r="A40" s="6" t="s">
        <v>95</v>
      </c>
      <c r="B40" s="121">
        <f>C31</f>
        <v>0.1192435383899344</v>
      </c>
      <c r="C40" s="30"/>
      <c r="D40" s="109"/>
      <c r="E40" s="109"/>
      <c r="F40" s="109"/>
      <c r="G40" s="109"/>
      <c r="H40" s="109"/>
      <c r="I40" s="109"/>
      <c r="J40" s="131"/>
    </row>
    <row r="41" spans="1:10">
      <c r="A41" s="132" t="s">
        <v>96</v>
      </c>
      <c r="B41" s="31">
        <f>NPV(B40,C39:G39)+B39</f>
        <v>8403709.0958378725</v>
      </c>
      <c r="C41" s="30"/>
      <c r="D41" s="30"/>
      <c r="E41" s="30"/>
      <c r="F41" s="30"/>
      <c r="G41" s="30"/>
      <c r="H41" s="30"/>
    </row>
    <row r="42" spans="1:10">
      <c r="A42" s="132" t="s">
        <v>97</v>
      </c>
      <c r="B42" s="121">
        <f>IF(ISERROR(IRR(B39:G39)),0,IRR(B39:G39))</f>
        <v>0.49175771024999071</v>
      </c>
      <c r="C42" s="30"/>
      <c r="D42" s="30"/>
      <c r="E42" s="30"/>
      <c r="F42" s="30"/>
      <c r="G42" s="30"/>
      <c r="H42" s="30"/>
    </row>
    <row r="43" spans="1:10">
      <c r="A43" s="133" t="s">
        <v>98</v>
      </c>
      <c r="B43" s="134"/>
      <c r="C43" s="30"/>
      <c r="D43" s="30"/>
      <c r="E43" s="30"/>
      <c r="F43" s="30"/>
      <c r="G43" s="30"/>
      <c r="H43" s="30"/>
    </row>
    <row r="44" spans="1:10">
      <c r="A44" s="132" t="s">
        <v>99</v>
      </c>
      <c r="B44" s="135">
        <f>NPV(B40,C39:G39)</f>
        <v>13702709.095837872</v>
      </c>
      <c r="C44" s="30"/>
      <c r="D44" s="30"/>
      <c r="E44" s="30"/>
      <c r="F44" s="30"/>
      <c r="G44" s="30"/>
      <c r="H44" s="30"/>
    </row>
    <row r="45" spans="1:10">
      <c r="A45" s="132" t="s">
        <v>100</v>
      </c>
      <c r="B45" s="31">
        <f>B39*-1</f>
        <v>5299000</v>
      </c>
      <c r="C45" s="30"/>
      <c r="D45" s="30"/>
      <c r="E45" s="30"/>
      <c r="F45" s="30"/>
      <c r="G45" s="30"/>
      <c r="H45" s="30"/>
    </row>
    <row r="46" spans="1:10">
      <c r="A46" s="132" t="s">
        <v>101</v>
      </c>
      <c r="B46" s="111">
        <f>(B44/B45)-1</f>
        <v>1.5859047170858411</v>
      </c>
      <c r="C46" s="30"/>
      <c r="D46" s="30"/>
      <c r="E46" s="30"/>
      <c r="F46" s="30"/>
      <c r="G46" s="30"/>
      <c r="H46" s="30"/>
    </row>
    <row r="47" spans="1:10">
      <c r="A47" s="132" t="s">
        <v>102</v>
      </c>
      <c r="B47" s="136">
        <f>PMT(B40,5,-B41)</f>
        <v>2326903.4712953386</v>
      </c>
      <c r="C47" s="30"/>
      <c r="D47" s="30"/>
      <c r="E47" s="30"/>
      <c r="F47" s="30"/>
      <c r="G47" s="30"/>
      <c r="H47" s="30"/>
    </row>
    <row r="48" spans="1:10">
      <c r="A48" s="137" t="s">
        <v>103</v>
      </c>
      <c r="B48" s="136">
        <f>FV(B40,5,-B47)</f>
        <v>14760259.380568478</v>
      </c>
      <c r="C48" s="30"/>
      <c r="D48" s="30"/>
      <c r="E48" s="30"/>
      <c r="F48" s="30"/>
      <c r="G48" s="30"/>
      <c r="H48" s="30"/>
    </row>
    <row r="49" spans="1:8">
      <c r="A49" s="138" t="s">
        <v>104</v>
      </c>
      <c r="B49" s="134"/>
      <c r="C49" s="30"/>
      <c r="D49" s="30"/>
      <c r="E49" s="30"/>
      <c r="F49" s="30"/>
      <c r="G49" s="30"/>
      <c r="H49" s="30"/>
    </row>
    <row r="50" spans="1:8">
      <c r="A50" s="54" t="s">
        <v>105</v>
      </c>
      <c r="B50" s="136">
        <f>PMT(B40,5,-B44)</f>
        <v>3794143.8711921936</v>
      </c>
      <c r="C50" s="30"/>
      <c r="D50" s="30"/>
      <c r="E50" s="30"/>
      <c r="F50" s="30"/>
      <c r="G50" s="30"/>
      <c r="H50" s="30"/>
    </row>
    <row r="51" spans="1:8" ht="19.5">
      <c r="A51" s="54" t="s">
        <v>106</v>
      </c>
      <c r="B51" s="136">
        <f>FV(B38,5,-B50)</f>
        <v>18970719.355960969</v>
      </c>
      <c r="C51" s="30"/>
      <c r="D51" s="30"/>
      <c r="E51" s="30"/>
      <c r="F51" s="30"/>
      <c r="G51" s="30"/>
      <c r="H51" s="30"/>
    </row>
    <row r="52" spans="1:8">
      <c r="A52" s="139" t="s">
        <v>104</v>
      </c>
      <c r="B52" s="140"/>
      <c r="C52" s="140"/>
      <c r="D52" s="140"/>
      <c r="E52" s="140"/>
      <c r="F52" s="140"/>
      <c r="G52" s="140"/>
      <c r="H52" s="140"/>
    </row>
    <row r="53" spans="1:8">
      <c r="A53" s="141" t="s">
        <v>107</v>
      </c>
      <c r="B53" s="142" t="s">
        <v>108</v>
      </c>
      <c r="C53" s="125" t="s">
        <v>109</v>
      </c>
      <c r="D53" s="125" t="s">
        <v>110</v>
      </c>
      <c r="E53" s="125" t="s">
        <v>111</v>
      </c>
      <c r="F53" s="143" t="s">
        <v>112</v>
      </c>
      <c r="G53" s="143" t="s">
        <v>113</v>
      </c>
      <c r="H53" s="8"/>
    </row>
    <row r="54" spans="1:8">
      <c r="A54" s="141" t="s">
        <v>81</v>
      </c>
      <c r="B54" s="144">
        <f>B45*-1</f>
        <v>-5299000</v>
      </c>
      <c r="C54" s="8">
        <v>0</v>
      </c>
      <c r="D54" s="8">
        <v>0</v>
      </c>
      <c r="E54" s="8">
        <v>0</v>
      </c>
      <c r="F54" s="8">
        <v>0</v>
      </c>
      <c r="G54" s="10">
        <f>B51</f>
        <v>18970719.355960969</v>
      </c>
      <c r="H54" s="8"/>
    </row>
    <row r="55" spans="1:8">
      <c r="A55" s="141" t="s">
        <v>114</v>
      </c>
      <c r="B55" s="127">
        <f>IRR(B54:G54)</f>
        <v>0.29055933327567446</v>
      </c>
      <c r="C55" s="8"/>
      <c r="D55" s="8"/>
      <c r="E55" s="8"/>
      <c r="F55" s="8"/>
      <c r="G55" s="8"/>
      <c r="H55" s="8"/>
    </row>
    <row r="56" spans="1:8">
      <c r="A56" s="54"/>
      <c r="B56" s="109"/>
      <c r="C56" s="30"/>
      <c r="D56" s="30"/>
      <c r="E56" s="30"/>
      <c r="F56" s="30"/>
      <c r="G56" s="30"/>
      <c r="H56" s="30"/>
    </row>
    <row r="57" spans="1:8">
      <c r="A57" s="54"/>
      <c r="B57" s="109"/>
      <c r="C57" s="30"/>
      <c r="D57" s="30"/>
      <c r="E57" s="30"/>
      <c r="F57" s="30"/>
      <c r="G57" s="30"/>
      <c r="H57" s="30"/>
    </row>
    <row r="58" spans="1:8" ht="18">
      <c r="A58" s="30"/>
      <c r="B58" s="145" t="s">
        <v>130</v>
      </c>
      <c r="C58" s="145"/>
      <c r="D58" s="145"/>
      <c r="E58" s="145"/>
      <c r="F58" s="145"/>
      <c r="G58" s="145"/>
      <c r="H58" s="30"/>
    </row>
    <row r="59" spans="1:8" ht="38.25">
      <c r="A59" s="30"/>
      <c r="B59" s="120" t="s">
        <v>115</v>
      </c>
      <c r="C59" s="120" t="s">
        <v>116</v>
      </c>
      <c r="D59" s="120" t="s">
        <v>117</v>
      </c>
      <c r="E59" s="146" t="s">
        <v>118</v>
      </c>
      <c r="F59" s="146" t="s">
        <v>119</v>
      </c>
      <c r="G59" s="146" t="s">
        <v>120</v>
      </c>
      <c r="H59" s="131"/>
    </row>
    <row r="60" spans="1:8">
      <c r="A60" s="30"/>
      <c r="B60" s="147" t="s">
        <v>121</v>
      </c>
      <c r="C60" s="31">
        <f>B39*-1</f>
        <v>5299000</v>
      </c>
      <c r="D60" s="31">
        <f>C60*B42</f>
        <v>2605824.106614701</v>
      </c>
      <c r="E60" s="31">
        <f>+C60+D60</f>
        <v>7904824.1066147014</v>
      </c>
      <c r="F60" s="31">
        <f>C39</f>
        <v>1572379.4499999993</v>
      </c>
      <c r="G60" s="31">
        <f t="shared" ref="G60:G64" si="5">E60-F60</f>
        <v>6332444.6566147022</v>
      </c>
      <c r="H60" s="30"/>
    </row>
    <row r="61" spans="1:8">
      <c r="A61" s="30"/>
      <c r="B61" s="147" t="s">
        <v>122</v>
      </c>
      <c r="C61" s="31">
        <f>G60</f>
        <v>6332444.6566147022</v>
      </c>
      <c r="D61" s="31">
        <f>C61*B42</f>
        <v>3114028.4846216347</v>
      </c>
      <c r="E61" s="31">
        <f>+C61+D61</f>
        <v>9446473.1412363369</v>
      </c>
      <c r="F61" s="31">
        <f>D39</f>
        <v>2354628.6791296788</v>
      </c>
      <c r="G61" s="31">
        <f t="shared" si="5"/>
        <v>7091844.4621066581</v>
      </c>
      <c r="H61" s="30"/>
    </row>
    <row r="62" spans="1:8">
      <c r="A62" s="30"/>
      <c r="B62" s="147" t="s">
        <v>123</v>
      </c>
      <c r="C62" s="31">
        <f>G61</f>
        <v>7091844.4621066581</v>
      </c>
      <c r="D62" s="31">
        <f>C62*B42</f>
        <v>3487469.194134647</v>
      </c>
      <c r="E62" s="31">
        <f>+C62+D62</f>
        <v>10579313.656241305</v>
      </c>
      <c r="F62" s="31">
        <f>E39</f>
        <v>3476355.6563779954</v>
      </c>
      <c r="G62" s="31">
        <f t="shared" si="5"/>
        <v>7102957.9998633098</v>
      </c>
      <c r="H62" s="30"/>
    </row>
    <row r="63" spans="1:8">
      <c r="A63" s="30"/>
      <c r="B63" s="147" t="s">
        <v>124</v>
      </c>
      <c r="C63" s="31">
        <f>G62</f>
        <v>7102957.9998633098</v>
      </c>
      <c r="D63" s="31">
        <f>C63*B42</f>
        <v>3492934.362014635</v>
      </c>
      <c r="E63" s="31">
        <f>+C63+D63</f>
        <v>10595892.361877944</v>
      </c>
      <c r="F63" s="31">
        <f>F39</f>
        <v>5000668.7415470518</v>
      </c>
      <c r="G63" s="31">
        <f t="shared" si="5"/>
        <v>5595223.6203308925</v>
      </c>
      <c r="H63" s="30"/>
    </row>
    <row r="64" spans="1:8">
      <c r="A64" s="30"/>
      <c r="B64" s="151" t="s">
        <v>125</v>
      </c>
      <c r="C64" s="29">
        <f>G63</f>
        <v>5595223.6203308925</v>
      </c>
      <c r="D64" s="29">
        <f>C64*B42</f>
        <v>2751494.3558705831</v>
      </c>
      <c r="E64" s="29">
        <f>+C64+D64</f>
        <v>8346717.9762014756</v>
      </c>
      <c r="F64" s="29">
        <f>G39</f>
        <v>8346717.9762016125</v>
      </c>
      <c r="G64" s="29">
        <f t="shared" si="5"/>
        <v>-1.3690441846847534E-7</v>
      </c>
      <c r="H64" s="30"/>
    </row>
    <row r="66" spans="4:5">
      <c r="D66" s="14" t="s">
        <v>126</v>
      </c>
      <c r="E66" s="14"/>
    </row>
    <row r="67" spans="4:5">
      <c r="D67" s="13" t="s">
        <v>127</v>
      </c>
      <c r="E67" s="13" t="s">
        <v>128</v>
      </c>
    </row>
    <row r="68" spans="4:5">
      <c r="D68" s="148">
        <v>0</v>
      </c>
      <c r="E68" s="149">
        <f t="shared" ref="E68:E131" si="6">NPV(D68,$C$39:$I$39)+$B$39</f>
        <v>15451750.503256336</v>
      </c>
    </row>
    <row r="69" spans="4:5">
      <c r="D69" s="148">
        <v>0.01</v>
      </c>
      <c r="E69" s="149">
        <f t="shared" si="6"/>
        <v>14687321.20776036</v>
      </c>
    </row>
    <row r="70" spans="4:5">
      <c r="D70" s="148">
        <v>0.02</v>
      </c>
      <c r="E70" s="149">
        <f t="shared" si="6"/>
        <v>13961316.211972184</v>
      </c>
    </row>
    <row r="71" spans="4:5">
      <c r="D71" s="148">
        <v>0.03</v>
      </c>
      <c r="E71" s="149">
        <f t="shared" si="6"/>
        <v>13271384.889477536</v>
      </c>
    </row>
    <row r="72" spans="4:5">
      <c r="D72" s="148">
        <v>0.04</v>
      </c>
      <c r="E72" s="149">
        <f t="shared" si="6"/>
        <v>12615343.767253321</v>
      </c>
    </row>
    <row r="73" spans="4:5">
      <c r="D73" s="148">
        <v>0.05</v>
      </c>
      <c r="E73" s="149">
        <f t="shared" si="6"/>
        <v>11991163.070507262</v>
      </c>
    </row>
    <row r="74" spans="4:5">
      <c r="D74" s="148">
        <v>0.06</v>
      </c>
      <c r="E74" s="149">
        <f t="shared" si="6"/>
        <v>11396954.471833419</v>
      </c>
    </row>
    <row r="75" spans="4:5">
      <c r="D75" s="148">
        <v>7.0000000000000007E-2</v>
      </c>
      <c r="E75" s="149">
        <f t="shared" si="6"/>
        <v>10830959.926388029</v>
      </c>
    </row>
    <row r="76" spans="4:5">
      <c r="D76" s="148">
        <v>0.08</v>
      </c>
      <c r="E76" s="149">
        <f t="shared" si="6"/>
        <v>10291541.487413161</v>
      </c>
    </row>
    <row r="77" spans="4:5">
      <c r="D77" s="148">
        <v>0.09</v>
      </c>
      <c r="E77" s="149">
        <f t="shared" si="6"/>
        <v>9777172.0076071154</v>
      </c>
    </row>
    <row r="78" spans="4:5">
      <c r="D78" s="148">
        <v>0.1</v>
      </c>
      <c r="E78" s="149">
        <f t="shared" si="6"/>
        <v>9286426.6417391617</v>
      </c>
    </row>
    <row r="79" spans="4:5">
      <c r="D79" s="148">
        <v>0.11</v>
      </c>
      <c r="E79" s="149">
        <f t="shared" si="6"/>
        <v>8817975.0746877566</v>
      </c>
    </row>
    <row r="80" spans="4:5">
      <c r="D80" s="148">
        <v>0.12</v>
      </c>
      <c r="E80" s="149">
        <f t="shared" si="6"/>
        <v>8370574.4068798702</v>
      </c>
    </row>
    <row r="81" spans="4:5">
      <c r="D81" s="148">
        <v>0.13</v>
      </c>
      <c r="E81" s="149">
        <f t="shared" si="6"/>
        <v>7943062.63604334</v>
      </c>
    </row>
    <row r="82" spans="4:5">
      <c r="D82" s="148">
        <v>0.14000000000000001</v>
      </c>
      <c r="E82" s="149">
        <f t="shared" si="6"/>
        <v>7534352.6803558599</v>
      </c>
    </row>
    <row r="83" spans="4:5">
      <c r="D83" s="148">
        <v>0.15</v>
      </c>
      <c r="E83" s="149">
        <f t="shared" si="6"/>
        <v>7143426.8935740869</v>
      </c>
    </row>
    <row r="84" spans="4:5">
      <c r="D84" s="148">
        <v>0.16</v>
      </c>
      <c r="E84" s="149">
        <f t="shared" si="6"/>
        <v>6769332.0276313405</v>
      </c>
    </row>
    <row r="85" spans="4:5">
      <c r="D85" s="148">
        <v>0.17</v>
      </c>
      <c r="E85" s="149">
        <f t="shared" si="6"/>
        <v>6411174.6025734842</v>
      </c>
    </row>
    <row r="86" spans="4:5">
      <c r="D86" s="148">
        <v>0.18</v>
      </c>
      <c r="E86" s="149">
        <f t="shared" si="6"/>
        <v>6068116.6476172097</v>
      </c>
    </row>
    <row r="87" spans="4:5">
      <c r="D87" s="148">
        <v>0.19</v>
      </c>
      <c r="E87" s="149">
        <f t="shared" si="6"/>
        <v>5739371.7806186564</v>
      </c>
    </row>
    <row r="88" spans="4:5">
      <c r="D88" s="148">
        <v>0.2</v>
      </c>
      <c r="E88" s="149">
        <f t="shared" si="6"/>
        <v>5424201.596377667</v>
      </c>
    </row>
    <row r="89" spans="4:5">
      <c r="D89" s="148">
        <v>0.21</v>
      </c>
      <c r="E89" s="149">
        <f t="shared" si="6"/>
        <v>5121912.3370159436</v>
      </c>
    </row>
    <row r="90" spans="4:5">
      <c r="D90" s="148">
        <v>0.22</v>
      </c>
      <c r="E90" s="149">
        <f t="shared" si="6"/>
        <v>4831851.8201914765</v>
      </c>
    </row>
    <row r="91" spans="4:5">
      <c r="D91" s="148">
        <v>0.23</v>
      </c>
      <c r="E91" s="149">
        <f t="shared" si="6"/>
        <v>4553406.6031787675</v>
      </c>
    </row>
    <row r="92" spans="4:5">
      <c r="D92" s="148">
        <v>0.24</v>
      </c>
      <c r="E92" s="149">
        <f t="shared" si="6"/>
        <v>4285999.3628826942</v>
      </c>
    </row>
    <row r="93" spans="4:5">
      <c r="D93" s="148">
        <v>0.25</v>
      </c>
      <c r="E93" s="149">
        <f t="shared" si="6"/>
        <v>4029086.4736879431</v>
      </c>
    </row>
    <row r="94" spans="4:5">
      <c r="D94" s="148">
        <v>0.26</v>
      </c>
      <c r="E94" s="149">
        <f t="shared" si="6"/>
        <v>3782155.7666978277</v>
      </c>
    </row>
    <row r="95" spans="4:5">
      <c r="D95" s="148">
        <v>0.27</v>
      </c>
      <c r="E95" s="149">
        <f t="shared" si="6"/>
        <v>3544724.4554054141</v>
      </c>
    </row>
    <row r="96" spans="4:5">
      <c r="D96" s="148">
        <v>0.28000000000000003</v>
      </c>
      <c r="E96" s="149">
        <f t="shared" si="6"/>
        <v>3316337.2141833808</v>
      </c>
    </row>
    <row r="97" spans="4:5">
      <c r="D97" s="148">
        <v>0.28999999999999998</v>
      </c>
      <c r="E97" s="149">
        <f t="shared" si="6"/>
        <v>3096564.3971921541</v>
      </c>
    </row>
    <row r="98" spans="4:5">
      <c r="D98" s="148">
        <v>0.3</v>
      </c>
      <c r="E98" s="149">
        <f t="shared" si="6"/>
        <v>2885000.3864022456</v>
      </c>
    </row>
    <row r="99" spans="4:5">
      <c r="D99" s="148">
        <v>0.31</v>
      </c>
      <c r="E99" s="149">
        <f t="shared" si="6"/>
        <v>2681262.0584184034</v>
      </c>
    </row>
    <row r="100" spans="4:5">
      <c r="D100" s="148">
        <v>0.32</v>
      </c>
      <c r="E100" s="149">
        <f t="shared" si="6"/>
        <v>2484987.3606908442</v>
      </c>
    </row>
    <row r="101" spans="4:5">
      <c r="D101" s="148">
        <v>0.33</v>
      </c>
      <c r="E101" s="149">
        <f t="shared" si="6"/>
        <v>2295833.9885120522</v>
      </c>
    </row>
    <row r="102" spans="4:5">
      <c r="D102" s="148">
        <v>0.34</v>
      </c>
      <c r="E102" s="149">
        <f t="shared" si="6"/>
        <v>2113478.1549350172</v>
      </c>
    </row>
    <row r="103" spans="4:5">
      <c r="D103" s="148">
        <v>0.35</v>
      </c>
      <c r="E103" s="149">
        <f t="shared" si="6"/>
        <v>1937613.4464177405</v>
      </c>
    </row>
    <row r="104" spans="4:5">
      <c r="D104" s="148">
        <v>0.36</v>
      </c>
      <c r="E104" s="149">
        <f t="shared" si="6"/>
        <v>1767949.7576063955</v>
      </c>
    </row>
    <row r="105" spans="4:5">
      <c r="D105" s="148">
        <v>0.37</v>
      </c>
      <c r="E105" s="149">
        <f t="shared" si="6"/>
        <v>1604212.2992215473</v>
      </c>
    </row>
    <row r="106" spans="4:5">
      <c r="D106" s="148">
        <v>0.38</v>
      </c>
      <c r="E106" s="149">
        <f t="shared" si="6"/>
        <v>1446140.6735139731</v>
      </c>
    </row>
    <row r="107" spans="4:5">
      <c r="D107" s="148">
        <v>0.39</v>
      </c>
      <c r="E107" s="149">
        <f t="shared" si="6"/>
        <v>1293488.0122133102</v>
      </c>
    </row>
    <row r="108" spans="4:5">
      <c r="D108" s="148">
        <v>0.4</v>
      </c>
      <c r="E108" s="149">
        <f t="shared" si="6"/>
        <v>1146020.1723091938</v>
      </c>
    </row>
    <row r="109" spans="4:5">
      <c r="D109" s="148">
        <v>0.41</v>
      </c>
      <c r="E109" s="149">
        <f t="shared" si="6"/>
        <v>1003514.9853833588</v>
      </c>
    </row>
    <row r="110" spans="4:5">
      <c r="D110" s="148">
        <v>0.42</v>
      </c>
      <c r="E110" s="149">
        <f t="shared" si="6"/>
        <v>865761.55655746255</v>
      </c>
    </row>
    <row r="111" spans="4:5">
      <c r="D111" s="148">
        <v>0.43</v>
      </c>
      <c r="E111" s="149">
        <f t="shared" si="6"/>
        <v>732559.60943662189</v>
      </c>
    </row>
    <row r="112" spans="4:5">
      <c r="D112" s="148">
        <v>0.44</v>
      </c>
      <c r="E112" s="149">
        <f t="shared" si="6"/>
        <v>603718.87371718604</v>
      </c>
    </row>
    <row r="113" spans="4:5">
      <c r="D113" s="148">
        <v>0.45</v>
      </c>
      <c r="E113" s="149">
        <f t="shared" si="6"/>
        <v>479058.51239055954</v>
      </c>
    </row>
    <row r="114" spans="4:5">
      <c r="D114" s="148">
        <v>0.46</v>
      </c>
      <c r="E114" s="149">
        <f t="shared" si="6"/>
        <v>358406.58571577165</v>
      </c>
    </row>
    <row r="115" spans="4:5">
      <c r="D115" s="148">
        <v>0.47</v>
      </c>
      <c r="E115" s="149">
        <f t="shared" si="6"/>
        <v>241599.54935394973</v>
      </c>
    </row>
    <row r="116" spans="4:5">
      <c r="D116" s="148">
        <v>0.48</v>
      </c>
      <c r="E116" s="149">
        <f t="shared" si="6"/>
        <v>128481.78425966017</v>
      </c>
    </row>
    <row r="117" spans="4:5">
      <c r="D117" s="148">
        <v>0.49</v>
      </c>
      <c r="E117" s="149">
        <f t="shared" si="6"/>
        <v>18905.156108980998</v>
      </c>
    </row>
    <row r="118" spans="4:5">
      <c r="D118" s="148">
        <v>0.5</v>
      </c>
      <c r="E118" s="149">
        <f t="shared" si="6"/>
        <v>-87271.397786292247</v>
      </c>
    </row>
    <row r="119" spans="4:5">
      <c r="D119" s="148">
        <v>0.51</v>
      </c>
      <c r="E119" s="149">
        <f t="shared" si="6"/>
        <v>-190182.2559733931</v>
      </c>
    </row>
    <row r="120" spans="4:5">
      <c r="D120" s="148">
        <v>0.52</v>
      </c>
      <c r="E120" s="149">
        <f t="shared" si="6"/>
        <v>-289955.4765146235</v>
      </c>
    </row>
    <row r="121" spans="4:5">
      <c r="D121" s="148">
        <v>0.53</v>
      </c>
      <c r="E121" s="149">
        <f t="shared" si="6"/>
        <v>-386713.13842593506</v>
      </c>
    </row>
    <row r="122" spans="4:5">
      <c r="D122" s="148">
        <v>0.54</v>
      </c>
      <c r="E122" s="149">
        <f t="shared" si="6"/>
        <v>-480571.66239878722</v>
      </c>
    </row>
    <row r="123" spans="4:5">
      <c r="D123" s="148">
        <v>0.55000000000000004</v>
      </c>
      <c r="E123" s="149">
        <f t="shared" si="6"/>
        <v>-571642.11219527759</v>
      </c>
    </row>
    <row r="124" spans="4:5">
      <c r="D124" s="148">
        <v>0.56000000000000005</v>
      </c>
      <c r="E124" s="149">
        <f t="shared" si="6"/>
        <v>-660030.47800454684</v>
      </c>
    </row>
    <row r="125" spans="4:5">
      <c r="D125" s="148">
        <v>0.56999999999999995</v>
      </c>
      <c r="E125" s="149">
        <f t="shared" si="6"/>
        <v>-745837.94295468926</v>
      </c>
    </row>
    <row r="126" spans="4:5">
      <c r="D126" s="148">
        <v>0.57999999999999996</v>
      </c>
      <c r="E126" s="149">
        <f t="shared" si="6"/>
        <v>-829161.13388792705</v>
      </c>
    </row>
    <row r="127" spans="4:5">
      <c r="D127" s="148">
        <v>0.59</v>
      </c>
      <c r="E127" s="149">
        <f t="shared" si="6"/>
        <v>-910092.35742715001</v>
      </c>
    </row>
    <row r="128" spans="4:5">
      <c r="D128" s="148">
        <v>0.6</v>
      </c>
      <c r="E128" s="149">
        <f t="shared" si="6"/>
        <v>-988719.82228854019</v>
      </c>
    </row>
    <row r="129" spans="4:5">
      <c r="D129" s="148">
        <v>0.61</v>
      </c>
      <c r="E129" s="149">
        <f t="shared" si="6"/>
        <v>-1065127.8487271033</v>
      </c>
    </row>
    <row r="130" spans="4:5">
      <c r="D130" s="148">
        <v>0.62</v>
      </c>
      <c r="E130" s="149">
        <f t="shared" si="6"/>
        <v>-1139397.0659395647</v>
      </c>
    </row>
    <row r="131" spans="4:5">
      <c r="D131" s="148">
        <v>0.63</v>
      </c>
      <c r="E131" s="149">
        <f t="shared" si="6"/>
        <v>-1211604.5981910918</v>
      </c>
    </row>
    <row r="132" spans="4:5">
      <c r="D132" s="148">
        <v>0.64</v>
      </c>
      <c r="E132" s="149">
        <f t="shared" ref="E132:E143" si="7">NPV(D132,$C$39:$I$39)+$B$39</f>
        <v>-1281824.2403791742</v>
      </c>
    </row>
    <row r="133" spans="4:5">
      <c r="D133" s="148">
        <v>0.65</v>
      </c>
      <c r="E133" s="149">
        <f t="shared" si="7"/>
        <v>-1350126.6236983747</v>
      </c>
    </row>
    <row r="134" spans="4:5">
      <c r="D134" s="148">
        <v>0.66</v>
      </c>
      <c r="E134" s="149">
        <f t="shared" si="7"/>
        <v>-1416579.3720242637</v>
      </c>
    </row>
    <row r="135" spans="4:5">
      <c r="D135" s="148">
        <v>0.67</v>
      </c>
      <c r="E135" s="149">
        <f t="shared" si="7"/>
        <v>-1481247.2495923769</v>
      </c>
    </row>
    <row r="136" spans="4:5">
      <c r="D136" s="148">
        <v>0.68</v>
      </c>
      <c r="E136" s="149">
        <f t="shared" si="7"/>
        <v>-1544192.3005091241</v>
      </c>
    </row>
    <row r="137" spans="4:5">
      <c r="D137" s="148">
        <v>0.69</v>
      </c>
      <c r="E137" s="149">
        <f t="shared" si="7"/>
        <v>-1605473.9805951416</v>
      </c>
    </row>
    <row r="138" spans="4:5">
      <c r="D138" s="148">
        <v>0.7</v>
      </c>
      <c r="E138" s="149">
        <f t="shared" si="7"/>
        <v>-1665149.2820281819</v>
      </c>
    </row>
    <row r="139" spans="4:5">
      <c r="D139" s="148">
        <v>0.71</v>
      </c>
      <c r="E139" s="149">
        <f t="shared" si="7"/>
        <v>-1723272.85122133</v>
      </c>
    </row>
    <row r="140" spans="4:5">
      <c r="D140" s="148">
        <v>0.72</v>
      </c>
      <c r="E140" s="149">
        <f t="shared" si="7"/>
        <v>-1779897.100343578</v>
      </c>
    </row>
    <row r="141" spans="4:5">
      <c r="D141" s="148">
        <v>0.73</v>
      </c>
      <c r="E141" s="149">
        <f t="shared" si="7"/>
        <v>-1835072.312862887</v>
      </c>
    </row>
    <row r="142" spans="4:5">
      <c r="D142" s="148">
        <v>0.74</v>
      </c>
      <c r="E142" s="149">
        <f t="shared" si="7"/>
        <v>-1888846.7434670138</v>
      </c>
    </row>
    <row r="143" spans="4:5">
      <c r="D143" s="148">
        <v>0.75</v>
      </c>
      <c r="E143" s="149">
        <f t="shared" si="7"/>
        <v>-1941266.7126942449</v>
      </c>
    </row>
  </sheetData>
  <mergeCells count="9">
    <mergeCell ref="H36:H38"/>
    <mergeCell ref="B58:G58"/>
    <mergeCell ref="D66:E66"/>
    <mergeCell ref="A1:H1"/>
    <mergeCell ref="A2:H2"/>
    <mergeCell ref="C4:G4"/>
    <mergeCell ref="H4:H6"/>
    <mergeCell ref="A24:F24"/>
    <mergeCell ref="A35:H3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Hoja2</vt:lpstr>
      <vt:lpstr>Hoja3</vt:lpstr>
      <vt:lpstr>Hoja4</vt:lpstr>
      <vt:lpstr>Hoja5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2012-11-22T21:11:40Z</dcterms:created>
  <dcterms:modified xsi:type="dcterms:W3CDTF">2012-11-22T22:38:34Z</dcterms:modified>
</cp:coreProperties>
</file>