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7320" activeTab="4"/>
  </bookViews>
  <sheets>
    <sheet name="CALCULO PRESUPUESTO  BID JPO" sheetId="1" r:id="rId1"/>
    <sheet name="CALCULOS HORAS" sheetId="2" r:id="rId2"/>
    <sheet name="Componentes" sheetId="3" state="hidden" r:id="rId3"/>
    <sheet name="MARCO" sheetId="4" r:id="rId4"/>
    <sheet name="Hoja1" sheetId="5" r:id="rId5"/>
    <sheet name="Hoja2" sheetId="6" r:id="rId6"/>
    <sheet name="Hoja3" sheetId="7" r:id="rId7"/>
  </sheets>
  <definedNames>
    <definedName name="Budget_Detail">#REF!</definedName>
  </definedNames>
  <calcPr fullCalcOnLoad="1"/>
</workbook>
</file>

<file path=xl/comments1.xml><?xml version="1.0" encoding="utf-8"?>
<comments xmlns="http://schemas.openxmlformats.org/spreadsheetml/2006/main">
  <authors>
    <author>Your User Name</author>
    <author>UNICOMFACAUCA</author>
  </authors>
  <commentList>
    <comment ref="B22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Corresponden a 42 cursos, cada uno con 32 horas de ciencias básicas, 32 horas de lectoescritura y 20 de Desarrollo Humano</t>
        </r>
      </text>
    </comment>
    <comment ref="B23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Corresponden a 50 grupos de 40 estudiantes cada uno, 15 por ingreso convencional y 35 por articulación.
</t>
        </r>
      </text>
    </comment>
    <comment ref="B25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80 horas de curso por 42 instituciones educativas</t>
        </r>
      </text>
    </comment>
    <comment ref="B26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64 horas semestre x 50 grupos</t>
        </r>
      </text>
    </comment>
    <comment ref="V27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20 horas por 50 grupos</t>
        </r>
      </text>
    </comment>
    <comment ref="L28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50 horas por 20 grupos</t>
        </r>
      </text>
    </comment>
    <comment ref="V28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50 horas por otros 20 grupos</t>
        </r>
      </text>
    </comment>
    <comment ref="AF28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50 horas por 10 grupos</t>
        </r>
      </text>
    </comment>
    <comment ref="B93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2.000 estudiantes por semestre por 18 semanas x 2 semestres</t>
        </r>
      </text>
    </comment>
    <comment ref="D93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Costo de ida y vuelta promedio </t>
        </r>
      </text>
    </comment>
    <comment ref="L93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2.000 estudiantes por semestre por 18 semanas x 2 semestres</t>
        </r>
      </text>
    </comment>
    <comment ref="V93" authorId="1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2.000 estudiantes por semestre por 18 semanas x 2 semestres</t>
        </r>
      </text>
    </comment>
  </commentList>
</comments>
</file>

<file path=xl/comments6.xml><?xml version="1.0" encoding="utf-8"?>
<comments xmlns="http://schemas.openxmlformats.org/spreadsheetml/2006/main">
  <authors>
    <author>Martha lucia</author>
  </authors>
  <commentList>
    <comment ref="D10" authorId="0">
      <text>
        <r>
          <rPr>
            <sz val="9"/>
            <rFont val="Tahoma"/>
            <family val="2"/>
          </rPr>
          <t xml:space="preserve">Cuadernos, boligrafos, memorias UBS, marcadores, diplomas de estudiantes, material para prácticas.
</t>
        </r>
      </text>
    </comment>
    <comment ref="D12" authorId="0">
      <text>
        <r>
          <rPr>
            <sz val="9"/>
            <rFont val="Tahoma"/>
            <family val="2"/>
          </rPr>
          <t xml:space="preserve">Gastos de oficina, mensajería, servicio de Internet, seguros de equipos, papelería y utiles, servicio telefónico, papeleras para piso, perforadoras, cosedoras, sacaganchos, fotocopias, tintas, carpetas, sobres de manila, suguros estudiantil, derechos de grado, GASTOS PRE-OPERATICOS (Polizas de cumplimiento)
</t>
        </r>
      </text>
    </comment>
    <comment ref="D15" authorId="0">
      <text>
        <r>
          <rPr>
            <sz val="9"/>
            <rFont val="Tahoma"/>
            <family val="2"/>
          </rPr>
          <t xml:space="preserve">Alquiler de oficina, alquiler de auditorios, uso de instalaciones deportivas, uso de biblioteca, adecuaciones de aulas de informática, mobiliarios aulas, uso de red Internet, salones de clase. </t>
        </r>
        <r>
          <rPr>
            <b/>
            <sz val="9"/>
            <rFont val="Tahoma"/>
            <family val="2"/>
          </rPr>
          <t>COORDINACIÓN Y ADMINISTRACIÓN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<sst xmlns="http://schemas.openxmlformats.org/spreadsheetml/2006/main" count="904" uniqueCount="387">
  <si>
    <t>CANT</t>
  </si>
  <si>
    <t>TOTAL</t>
  </si>
  <si>
    <t>Coordinador del proyecto</t>
  </si>
  <si>
    <t>Formación Técnica</t>
  </si>
  <si>
    <t>Formación Laboral</t>
  </si>
  <si>
    <t>Asesoría a iniciativas empresariales (Proyectos Prod)</t>
  </si>
  <si>
    <t>Sillas giratorias</t>
  </si>
  <si>
    <t>Sillas sin brazos tapizados</t>
  </si>
  <si>
    <t>Servicio telefónico - Lineas</t>
  </si>
  <si>
    <t xml:space="preserve">Papeleras para piso </t>
  </si>
  <si>
    <t>Estante tipo biblioteca</t>
  </si>
  <si>
    <t>Mesa de Juntas (6 puestos)</t>
  </si>
  <si>
    <t>Perforadoras</t>
  </si>
  <si>
    <t>Cosedoras</t>
  </si>
  <si>
    <t>Sacaganchos</t>
  </si>
  <si>
    <t>Seguros equipos y muebles</t>
  </si>
  <si>
    <t>Mensajería</t>
  </si>
  <si>
    <t>Papelería y utiles</t>
  </si>
  <si>
    <t>Alquiler Oficinas</t>
  </si>
  <si>
    <t>Impresión Plegables</t>
  </si>
  <si>
    <t>Información de prensa</t>
  </si>
  <si>
    <t>Alquiler de auditorios</t>
  </si>
  <si>
    <t>Seguro Estudiantil</t>
  </si>
  <si>
    <t>Uso de instalaciones deportivas</t>
  </si>
  <si>
    <t>Usos de Bibliotecas y multimedia</t>
  </si>
  <si>
    <t>Efectivo</t>
  </si>
  <si>
    <t>Equipos</t>
  </si>
  <si>
    <t>meses</t>
  </si>
  <si>
    <t>Cuadernos</t>
  </si>
  <si>
    <t>Meses</t>
  </si>
  <si>
    <t>GASTOS DE OFICINA</t>
  </si>
  <si>
    <t>EQUIPOS</t>
  </si>
  <si>
    <t>Mes</t>
  </si>
  <si>
    <t>Marcadores</t>
  </si>
  <si>
    <t>TOTAL CONSULTORES</t>
  </si>
  <si>
    <t>TOTAL EQUIPOS</t>
  </si>
  <si>
    <t>MATERIAL DIDACTICO</t>
  </si>
  <si>
    <t>Bolìgrafos</t>
  </si>
  <si>
    <t>TOTAL MATERIAL DIDACTICO</t>
  </si>
  <si>
    <t>INSTALACIONES</t>
  </si>
  <si>
    <t>TOTAL INSTALACIONES</t>
  </si>
  <si>
    <t>TOTAL GASTOS DE OFICINA</t>
  </si>
  <si>
    <t>VIAJES</t>
  </si>
  <si>
    <t>Tinta para impresora</t>
  </si>
  <si>
    <t>carpetas archivadoras</t>
  </si>
  <si>
    <t>TOTAL OTROS GASTOS (PROMOCIÒN Y DIFUSIÒN)</t>
  </si>
  <si>
    <t>Otros transportes oficina- Auditor</t>
  </si>
  <si>
    <t>ESTIPENDIOS</t>
  </si>
  <si>
    <t>TOTAL ESTIPENDIOS</t>
  </si>
  <si>
    <t>TOTAL VIAJES</t>
  </si>
  <si>
    <t xml:space="preserve">TOTAL </t>
  </si>
  <si>
    <t>Fotocopias documentos de oficina</t>
  </si>
  <si>
    <t>Uso de Red  Internet (Salones de clase)</t>
  </si>
  <si>
    <t>UNIDAD</t>
  </si>
  <si>
    <t>Hora</t>
  </si>
  <si>
    <t>TOTAL TALENTO HUMANO</t>
  </si>
  <si>
    <t>PRESUPUESTO PROYECTO FORMACIÓN DE JÓVENES EN SITUACIÓN DE VULNERABILIDAD NORTE CAUCA Y POPAYÁN BID JPO</t>
  </si>
  <si>
    <t>VALOR (us)</t>
  </si>
  <si>
    <t>TALENTO HUMANO</t>
  </si>
  <si>
    <t>UNITARIO</t>
  </si>
  <si>
    <t>CONCEPTOS</t>
  </si>
  <si>
    <t>PRESUPUESTO AÑO 2</t>
  </si>
  <si>
    <t xml:space="preserve">TOTAL PROYECTO </t>
  </si>
  <si>
    <t>PRESUPUESTO AÑO 3</t>
  </si>
  <si>
    <t>Especie</t>
  </si>
  <si>
    <t>APORTES DE LOS COOPERANTES</t>
  </si>
  <si>
    <r>
      <t xml:space="preserve">TOTAL OTROS GASTOS </t>
    </r>
    <r>
      <rPr>
        <b/>
        <sz val="9"/>
        <color indexed="9"/>
        <rFont val="Arial"/>
        <family val="2"/>
      </rPr>
      <t>(MATERIALES Y DOTACIONES  A ESTUDIANTES)</t>
    </r>
  </si>
  <si>
    <t>CONSOLIDADO PRESUPUESTO DE LOS COOPERANTES</t>
  </si>
  <si>
    <t>CRONOGRAMA DESEMBOLSOS</t>
  </si>
  <si>
    <r>
      <t xml:space="preserve">OTROS GASTOS </t>
    </r>
    <r>
      <rPr>
        <b/>
        <sz val="11"/>
        <color indexed="12"/>
        <rFont val="Arial"/>
        <family val="2"/>
      </rPr>
      <t>(PROMOCIÒN Y DIFUSIÒN)</t>
    </r>
  </si>
  <si>
    <t>Auxiliar Contable.</t>
  </si>
  <si>
    <t>Auditoria Externa</t>
  </si>
  <si>
    <t>Auditoria Interna</t>
  </si>
  <si>
    <t>Und</t>
  </si>
  <si>
    <t>Monitoreo y Evaluación</t>
  </si>
  <si>
    <t>primer año</t>
  </si>
  <si>
    <t>Segundo año</t>
  </si>
  <si>
    <t>TERCER año</t>
  </si>
  <si>
    <t>Primer semestre</t>
  </si>
  <si>
    <t>Horas</t>
  </si>
  <si>
    <t>1 Semestre</t>
  </si>
  <si>
    <t>2 Semestre</t>
  </si>
  <si>
    <t>3 Semestre</t>
  </si>
  <si>
    <t>4 Semestre</t>
  </si>
  <si>
    <t>5 Semestre</t>
  </si>
  <si>
    <t>6 Semestre</t>
  </si>
  <si>
    <t>Formación Empresarial (Emprendimiento)</t>
  </si>
  <si>
    <t>Unidad</t>
  </si>
  <si>
    <t>Software</t>
  </si>
  <si>
    <t>Impresoras laser varios usos</t>
  </si>
  <si>
    <t xml:space="preserve">Archivadores </t>
  </si>
  <si>
    <t>Licencias para computadores de oficina</t>
  </si>
  <si>
    <t>Computadores: monitor, cpu, teclado, mouse</t>
  </si>
  <si>
    <t>Doc</t>
  </si>
  <si>
    <t>Grupo</t>
  </si>
  <si>
    <t>Material para pràctica de Programas (técnicos profesionales en TIC, Agroambiental e Industrial)</t>
  </si>
  <si>
    <t>Grupos</t>
  </si>
  <si>
    <t>Aulas</t>
  </si>
  <si>
    <t>Mobiliario aulas de Sistemas</t>
  </si>
  <si>
    <t>Puesto</t>
  </si>
  <si>
    <t>Sedes</t>
  </si>
  <si>
    <t>Servicio de Internet</t>
  </si>
  <si>
    <t>Sobres de manila</t>
  </si>
  <si>
    <t>Estudiante</t>
  </si>
  <si>
    <t>Evento de lanzamiento del programa</t>
  </si>
  <si>
    <t>Talleres de concertaciòn con sector empresarial del área de influencia del Proyecto</t>
  </si>
  <si>
    <t xml:space="preserve">Gastos de viaje Coordinador del proyecto </t>
  </si>
  <si>
    <t>Gastos transporte inserción laboral-empresas</t>
  </si>
  <si>
    <t>Otros transportes fletes -acarreos</t>
  </si>
  <si>
    <r>
      <t xml:space="preserve">OTROS GASTOS </t>
    </r>
    <r>
      <rPr>
        <b/>
        <sz val="9"/>
        <color indexed="12"/>
        <rFont val="Arial"/>
        <family val="2"/>
      </rPr>
      <t xml:space="preserve">(A ESTUDIANTES) </t>
    </r>
  </si>
  <si>
    <t>Eventos</t>
  </si>
  <si>
    <t>Unid</t>
  </si>
  <si>
    <t>talleres</t>
  </si>
  <si>
    <t>Talleres</t>
  </si>
  <si>
    <t>PRESUPUESTO AÑO 4</t>
  </si>
  <si>
    <t>Segundo semestre</t>
  </si>
  <si>
    <t>01/01/2013 a 30/06/13</t>
  </si>
  <si>
    <t>01/07/2013 a 31/12/13</t>
  </si>
  <si>
    <t>01/01/2014 a 30/06/14</t>
  </si>
  <si>
    <t>01/07/2014 a 31/12/14</t>
  </si>
  <si>
    <t>01/01/2015 a 30/06/15</t>
  </si>
  <si>
    <t>01/07/2016 a 31/12/16</t>
  </si>
  <si>
    <t>7 Semestre</t>
  </si>
  <si>
    <t>Cuarto año</t>
  </si>
  <si>
    <t>Horas por Semestre</t>
  </si>
  <si>
    <t>01/07/2012 a 31/12/12</t>
  </si>
  <si>
    <t>3° Sem Articulac.</t>
  </si>
  <si>
    <t>4° Sem Articulac.</t>
  </si>
  <si>
    <t>2° semestre Articulación</t>
  </si>
  <si>
    <t>1° semestre Articulación</t>
  </si>
  <si>
    <t>Grupos por Semestre</t>
  </si>
  <si>
    <t>Programa de Articulación</t>
  </si>
  <si>
    <t>Programa ingreso Convencional</t>
  </si>
  <si>
    <t>Total Horas Técnicas por Semestre</t>
  </si>
  <si>
    <t>Horas Técnicas por Semestre</t>
  </si>
  <si>
    <t>Gran Total</t>
  </si>
  <si>
    <t>Emprendimiento Empresarial</t>
  </si>
  <si>
    <t>Horas emprendimiento por Semestre</t>
  </si>
  <si>
    <t>GRAN TOTAL HORAS TÉCNICAS</t>
  </si>
  <si>
    <t>Asesoría Empresarial</t>
  </si>
  <si>
    <t>Diplomas de estudiantes</t>
  </si>
  <si>
    <t>estudiantes</t>
  </si>
  <si>
    <t xml:space="preserve">Horas emprendimiento por Semestre </t>
  </si>
  <si>
    <t>Horas tecnicas por año</t>
  </si>
  <si>
    <t>Adecuaciones aula de informática</t>
  </si>
  <si>
    <t>Usos</t>
  </si>
  <si>
    <t>Estudiantes</t>
  </si>
  <si>
    <t>Valor dólar</t>
  </si>
  <si>
    <t>CONSULTORES - INSTRUCTORES</t>
  </si>
  <si>
    <t>Salones de clase  y laboratorios Tecnicos Profesionales en TIC, Agroambiental e Industrial, en Puerto Tejada, Santander y Popayán</t>
  </si>
  <si>
    <t>PRESUPUESTO AÑO 1 - Julio/12 a Junio/13</t>
  </si>
  <si>
    <t>Competencias Básicas - Nivelación preparación académica</t>
  </si>
  <si>
    <t>II - 2012</t>
  </si>
  <si>
    <t>I SEMESTRE</t>
  </si>
  <si>
    <t>I-2013</t>
  </si>
  <si>
    <t>II</t>
  </si>
  <si>
    <t>II 2013</t>
  </si>
  <si>
    <t>III</t>
  </si>
  <si>
    <t>I-2014</t>
  </si>
  <si>
    <t xml:space="preserve">IV </t>
  </si>
  <si>
    <t>ARTICULACION</t>
  </si>
  <si>
    <t>II-2013</t>
  </si>
  <si>
    <t>II-2014</t>
  </si>
  <si>
    <t>PRACTICA</t>
  </si>
  <si>
    <t>II SEMESTRE</t>
  </si>
  <si>
    <t>I-2015</t>
  </si>
  <si>
    <t>III SEMESTRE</t>
  </si>
  <si>
    <t>II-2015</t>
  </si>
  <si>
    <t>IV SEMESTRE</t>
  </si>
  <si>
    <t>I-2016</t>
  </si>
  <si>
    <t>Horas semestre</t>
  </si>
  <si>
    <t>II-2012 y I-2013</t>
  </si>
  <si>
    <t>II-2013 y I-2014</t>
  </si>
  <si>
    <t>II-2014 y I-2015</t>
  </si>
  <si>
    <t>CALCULO DE HORAS DE CLASE TECNICAS - el correcto</t>
  </si>
  <si>
    <t>Carné Estudiantil</t>
  </si>
  <si>
    <t>Gastos transporte coordinadores académicos y sicólogos Popayàn - Sedes Santander y Puerto Tejada y viceversa</t>
  </si>
  <si>
    <t>Acompañamiento Intermediación Laboral (2 personas en buena parte del proyecto)</t>
  </si>
  <si>
    <t>Gastos preoperativos (polizas, publicaciones, formulación)</t>
  </si>
  <si>
    <t xml:space="preserve">NUMERO DE MESES </t>
  </si>
  <si>
    <t xml:space="preserve">COSTO MENSUAL </t>
  </si>
  <si>
    <t>JPO TOTAL</t>
  </si>
  <si>
    <t>Transporte estudiantes y docentes</t>
  </si>
  <si>
    <t xml:space="preserve">(1) Transición de la secundaria media a la educación superior y acceso equitativo a la educación técnica profesional  </t>
  </si>
  <si>
    <t>2 Mejoramiento de la Calidad: Mejoramiento de la Secundaria Media y Nivelación Académica de los Aspirantes a Educación Superior</t>
  </si>
  <si>
    <t>3 Mayor Retención y Graduación</t>
  </si>
  <si>
    <t>4 Transición de la educación superior al mundo laboral</t>
  </si>
  <si>
    <t>CONTRAPARTIDA LOCAL (min 10%)</t>
  </si>
  <si>
    <t>TIPO DE GASTO</t>
  </si>
  <si>
    <t>5 GESTION EN LA ADMINISTRACIÓN DEL PROYECTO</t>
  </si>
  <si>
    <t>Honorarios:</t>
  </si>
  <si>
    <t>Viajes:</t>
  </si>
  <si>
    <t>Viáticos</t>
  </si>
  <si>
    <t>Honorarios</t>
  </si>
  <si>
    <t>Viajes</t>
  </si>
  <si>
    <t xml:space="preserve">Gastos Generales </t>
  </si>
  <si>
    <t>Otros costos</t>
  </si>
  <si>
    <t>Equipo</t>
  </si>
  <si>
    <t>Soporte administrativo</t>
  </si>
  <si>
    <t>Evaluacion y auditoria</t>
  </si>
  <si>
    <t>Contingencias</t>
  </si>
  <si>
    <t>Material didáctico</t>
  </si>
  <si>
    <t>Infraestructura educativa</t>
  </si>
  <si>
    <t>Promoción y difusión</t>
  </si>
  <si>
    <t xml:space="preserve">Talleres de concertación con jóvenes y padres de familia </t>
  </si>
  <si>
    <t>Talleres de concertación empresarial</t>
  </si>
  <si>
    <t>NACION</t>
  </si>
  <si>
    <t>Articulacion</t>
  </si>
  <si>
    <t>Convencional</t>
  </si>
  <si>
    <t>V</t>
  </si>
  <si>
    <t>VI</t>
  </si>
  <si>
    <t>II-2015 y I-2016</t>
  </si>
  <si>
    <t>Práctica</t>
  </si>
  <si>
    <t>DEMANDA TECNOLOGIA</t>
  </si>
  <si>
    <t>Formación docentes media para articulación y PEI</t>
  </si>
  <si>
    <t>Tutores para la práctica</t>
  </si>
  <si>
    <t>Coordinador cultural y de bienestar</t>
  </si>
  <si>
    <t>mes</t>
  </si>
  <si>
    <t>Laboratorios de acuerdo con las necesidades del Sector Productivo</t>
  </si>
  <si>
    <t>Escritorios</t>
  </si>
  <si>
    <t>Estantes para los laboratorios</t>
  </si>
  <si>
    <t>Memorias USB</t>
  </si>
  <si>
    <t>Guias y material de estudio (textos)</t>
  </si>
  <si>
    <t>Estrategias de retencion y fortalecimiento identidad</t>
  </si>
  <si>
    <t>Nacion</t>
  </si>
  <si>
    <t>Unicomfacauca</t>
  </si>
  <si>
    <t>Otros cooperantes</t>
  </si>
  <si>
    <r>
      <t xml:space="preserve">Coordinador académico del proyecto  </t>
    </r>
    <r>
      <rPr>
        <sz val="10"/>
        <rFont val="Arial"/>
        <family val="2"/>
      </rPr>
      <t>(3PERSONAS)</t>
    </r>
  </si>
  <si>
    <t>Derechos de grado</t>
  </si>
  <si>
    <t>Apoyo psicosocial (4 psicologos)</t>
  </si>
  <si>
    <t>Administración Primer año</t>
  </si>
  <si>
    <t>Admon 2o</t>
  </si>
  <si>
    <t>Admon 3o</t>
  </si>
  <si>
    <t>Admon 4o</t>
  </si>
  <si>
    <t>Admon y coordinación del proy</t>
  </si>
  <si>
    <t>COORDINACION Y ADMINISTRACION DEL PROYECTO y DE LAS INSTITUCIONES EJECUTORAS</t>
  </si>
  <si>
    <t>Aporte regalías</t>
  </si>
  <si>
    <t>Aporte Municipios</t>
  </si>
  <si>
    <t>Aporte Nación</t>
  </si>
  <si>
    <t>Contrapartida Local</t>
  </si>
  <si>
    <t>Total contrap local</t>
  </si>
  <si>
    <t>Aporte de Contrapartida local se distribuye:</t>
  </si>
  <si>
    <t>DATOS PARA DILIGENCIAR LA MGA</t>
  </si>
  <si>
    <t>ITEMS</t>
  </si>
  <si>
    <t>%</t>
  </si>
  <si>
    <t>INSUMOS</t>
  </si>
  <si>
    <t>1. MANO DE OBRA</t>
  </si>
  <si>
    <t>2. TRANSPORTE</t>
  </si>
  <si>
    <t>3. MATERIALES</t>
  </si>
  <si>
    <t>4. SERVICIOS</t>
  </si>
  <si>
    <t xml:space="preserve">4.2. Otros servicios. </t>
  </si>
  <si>
    <t>5. ACTIVOS FIJOS</t>
  </si>
  <si>
    <t>5.3. Maquinaria y Equipos</t>
  </si>
  <si>
    <t>6. OTROS GASTOS.</t>
  </si>
  <si>
    <t>ETAPA DE INVERSIÓN</t>
  </si>
  <si>
    <t xml:space="preserve">1.1. Mano de obre calificada. </t>
  </si>
  <si>
    <t>2. TRANSPORTE.</t>
  </si>
  <si>
    <t>4.2. Otros servicios</t>
  </si>
  <si>
    <t>6. OTROS GASTOS</t>
  </si>
  <si>
    <t>TOTALES</t>
  </si>
  <si>
    <t>FUENTES DE FINANCIACIÓN</t>
  </si>
  <si>
    <t>NACIÓN</t>
  </si>
  <si>
    <t>INVERSIÓN (AÑO 1)</t>
  </si>
  <si>
    <t>INVERSION (AÑO 2)</t>
  </si>
  <si>
    <t>FUENTE DE FINANCIACIÓN</t>
  </si>
  <si>
    <t>TIPO DE RECURSO</t>
  </si>
  <si>
    <t>AÑO 1</t>
  </si>
  <si>
    <t>AÑO 2</t>
  </si>
  <si>
    <t>AÑO 3</t>
  </si>
  <si>
    <t>AÑO 4</t>
  </si>
  <si>
    <t>En especie</t>
  </si>
  <si>
    <t>Ministerio Educación Nacional - Gestión General</t>
  </si>
  <si>
    <t>X</t>
  </si>
  <si>
    <t>PRIVADAS</t>
  </si>
  <si>
    <t>MUNICIPIOS</t>
  </si>
  <si>
    <t>Trece (13) municipios del norte del Cauca</t>
  </si>
  <si>
    <t>FASE DE INVERSIÓN</t>
  </si>
  <si>
    <t>DEPARTAMENTO</t>
  </si>
  <si>
    <t>Regalias</t>
  </si>
  <si>
    <t>Diferencia</t>
  </si>
  <si>
    <t>SUMAS HORIZONTALES</t>
  </si>
  <si>
    <t>UNICOMFACAUCA Y OTRAS IES</t>
  </si>
  <si>
    <t>MUNICIPIOS Y REGALIAS</t>
  </si>
  <si>
    <t>UNICOMFACAUCA</t>
  </si>
  <si>
    <t>MUNICIPIO</t>
  </si>
  <si>
    <t>Buenos Aires</t>
  </si>
  <si>
    <t>Caloto</t>
  </si>
  <si>
    <t xml:space="preserve">Corinto </t>
  </si>
  <si>
    <t>Guachene</t>
  </si>
  <si>
    <t>Miranda</t>
  </si>
  <si>
    <t xml:space="preserve">Padilla </t>
  </si>
  <si>
    <t xml:space="preserve">Puerto Tejada </t>
  </si>
  <si>
    <t xml:space="preserve">Santander de Quilichao </t>
  </si>
  <si>
    <t>Suarez</t>
  </si>
  <si>
    <t xml:space="preserve">Villa Rica </t>
  </si>
  <si>
    <t>Caldono</t>
  </si>
  <si>
    <t>Jámbalo</t>
  </si>
  <si>
    <t>Toribio</t>
  </si>
  <si>
    <t xml:space="preserve">GRAN TOTAL </t>
  </si>
  <si>
    <t xml:space="preserve">TOTAL INSTITUCIONES EDUCATIVAS </t>
  </si>
  <si>
    <t>PROPORCIÓN</t>
  </si>
  <si>
    <t>VALORES</t>
  </si>
  <si>
    <t>ACTIVIDADES</t>
  </si>
  <si>
    <t>INVERSIÓN</t>
  </si>
  <si>
    <t>AÑO 2013</t>
  </si>
  <si>
    <t>COMPROBACIÓN</t>
  </si>
  <si>
    <t>TOTAL GASTOS AÑO 2013</t>
  </si>
  <si>
    <t>NÚMERO
ACTIVIDAD</t>
  </si>
  <si>
    <t>NÚMERO DE OBJETIVO</t>
  </si>
  <si>
    <t>PRESUPUESTO POR OBJETIVOS Y ACTIVIDADES Y PRODUCTOS PARA DILIGENCIAR LA MGA</t>
  </si>
  <si>
    <t>CONSTRUCCIÓN DEL MARCO LÓGICO</t>
  </si>
  <si>
    <t>OBJETIVOS</t>
  </si>
  <si>
    <t>PRODUCTO</t>
  </si>
  <si>
    <t>NÚMERO DE ACTIVIDAD</t>
  </si>
  <si>
    <t>AÑO 2014</t>
  </si>
  <si>
    <t>AÑO 2015</t>
  </si>
  <si>
    <t>SUBTOTAL</t>
  </si>
  <si>
    <t>RESUMEN</t>
  </si>
  <si>
    <t>ESTUDIANTES TECNÓLOGOS</t>
  </si>
  <si>
    <t>ESTUDIANTES 
TÉCNICOS</t>
  </si>
  <si>
    <t>TOTAL  POR MUNICIPIO</t>
  </si>
  <si>
    <r>
      <t xml:space="preserve">PROBLEMA CENTRAL.
</t>
    </r>
    <r>
      <rPr>
        <sz val="14"/>
        <color indexed="8"/>
        <rFont val="Arial"/>
        <family val="2"/>
      </rPr>
      <t xml:space="preserve">La baja cobertura bruta de la educación superior, las barreras en el acceso a la educación superior por los pocos recursos económicos y de capital cultural, la alta deserción en los primeros semestres y durante los estudios en general por la escasa preparación académica en la educación básica y media de los jóvenes de los 13 municipios del norte del Departamento del Cauca, los pone en desventaja para optar por mejores oportunidades de vida y para acceder con suficientes competencias al mercado laboral generado en la zona por las empresas creadas por la Ley Páez y recientemente, por zonas francas.
</t>
    </r>
  </si>
  <si>
    <r>
      <rPr>
        <b/>
        <sz val="16"/>
        <color indexed="8"/>
        <rFont val="Arial"/>
        <family val="2"/>
      </rPr>
      <t>Describa la situación existente con relación al problema o necesidad:</t>
    </r>
    <r>
      <rPr>
        <b/>
        <sz val="12"/>
        <color indexed="8"/>
        <rFont val="Arial"/>
        <family val="2"/>
      </rPr>
      <t xml:space="preserve">
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 xml:space="preserve">Los jóvenes de escasos recursos de los 13 municipios del Norte del Cauca tienen restringidas oportunidades de acceso a educación superior de calidad que los forme en las competencias laborales requeridas para acceder al mercado laboral, por este motivo se generan en la zona altos índices de desocupación y por lo tanto pocas oportunidades de generación de ingresos.
</t>
    </r>
  </si>
  <si>
    <r>
      <rPr>
        <b/>
        <sz val="16"/>
        <color indexed="8"/>
        <rFont val="Arial"/>
        <family val="2"/>
      </rPr>
      <t>Indicadores iniciales ¿Cuál es la magnitud del problema actualmente?</t>
    </r>
    <r>
      <rPr>
        <b/>
        <sz val="12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De acuerdo con el Ministerio de Educación, en el Cauca la tasa de cobertura bruta de Educación Superior en el año 2010 era del 26,59%, lo que muestra que la región se encuentra casi 10 puntos porcentuales por debajo del promedio nacional que era del 37,1%, adicionalmente, solo el 17% de los estudiantes caucanos acceden a créditos del ICETEX, lo que en el año 2010 representó 5.956 créditos educativos de un total de 34.831 estudiantes,  de los cuales 20132 pertenecen a hogares cuyos ingresos no superan los 2 salarios mínimos.
Los grupos afrodescendientes e indígenas son los menos favorecidos en el acceso a la educación superior. Según cifras del Banco Mundial los jóvenes afrodescendientes tienen una tasa de asistencia a educación superior ocho puntos por debajo del resto de la población y para las comunidades indígenas, de acuerdo con la UNESCO-IESALC, la tasa de participación apenas alcanza el 7% de la población.
</t>
    </r>
  </si>
  <si>
    <r>
      <rPr>
        <b/>
        <sz val="16"/>
        <color indexed="8"/>
        <rFont val="Arial"/>
        <family val="2"/>
      </rPr>
      <t>OBJETIVO GENERAL</t>
    </r>
    <r>
      <rPr>
        <b/>
        <sz val="12"/>
        <color indexed="8"/>
        <rFont val="Arial"/>
        <family val="2"/>
      </rPr>
      <t xml:space="preserve">
</t>
    </r>
    <r>
      <rPr>
        <sz val="10"/>
        <rFont val="Arial"/>
        <family val="0"/>
      </rPr>
      <t xml:space="preserve">
</t>
    </r>
    <r>
      <rPr>
        <sz val="14"/>
        <rFont val="Arial"/>
        <family val="2"/>
      </rPr>
      <t>Contribuir al acceso y permanencia en la educación superior, a la generación de empleo y a la disminución de la pobreza a través de la formación académica, generando capacidades técnicas y tecnológicas a 1.035 jóvenes en situación de vulnerabilidad de trece (13) municipios ubicados en la zona Norte del departamento del Cauca.</t>
    </r>
  </si>
  <si>
    <t>CAUSA DIRECTAS</t>
  </si>
  <si>
    <t>EFECTO DIRECTO</t>
  </si>
  <si>
    <t>AÑO 2012</t>
  </si>
  <si>
    <t>AÑO 1
2012</t>
  </si>
  <si>
    <t>AÑO 2
2013</t>
  </si>
  <si>
    <t>AÑO 3
2014</t>
  </si>
  <si>
    <t>AÑO 4
2015</t>
  </si>
  <si>
    <t>2012
AÑO 1</t>
  </si>
  <si>
    <t>AÑO 2013
AÑO 2</t>
  </si>
  <si>
    <t>AÑO 2014
AÑO 3</t>
  </si>
  <si>
    <t>AÑO 2015
AÑO 4</t>
  </si>
  <si>
    <t xml:space="preserve">
Dificultades financieras para pagar la educación superior </t>
  </si>
  <si>
    <t xml:space="preserve">Baja preparación académica de los aspirantes a la educación superior </t>
  </si>
  <si>
    <t>Desadaptación de los jóvenes a la vida universitaria</t>
  </si>
  <si>
    <t>Escasa articulación de la educación superior con los sectores productivos</t>
  </si>
  <si>
    <t xml:space="preserve">Dificultades de los jóvenes del norte del Cauca para conseguir empleo una vez concluyen su educación superior </t>
  </si>
  <si>
    <t>Escasa articulación de la educación superior con los niveles educativos previos y particularmente con I.E. de media técnica</t>
  </si>
  <si>
    <t>Falta de acceso a la educación superior.</t>
  </si>
  <si>
    <t>Dificultades de los jóvenes para ser admitidos y permanecer en la educación superior</t>
  </si>
  <si>
    <t>Altos niveles de deserción estudiantil en la educación superior</t>
  </si>
  <si>
    <t>Programas de educación superior no pertinentes a las necesidades regionales</t>
  </si>
  <si>
    <t>Desempleo, exclusión y riesgo social (pandillismo, drogadicción)</t>
  </si>
  <si>
    <t>Falta de oportunidades para valer conocimientos técnicos adquiridos por los estudiantes de 10 y 11 en la educación superior</t>
  </si>
  <si>
    <t>Financiar el acceso y permanencia en la educación superior 2.000 jóvenes en situación de vulnerabilidad</t>
  </si>
  <si>
    <t>Nivelar académicamente a los jóvenes beneficiarios para su ingreso a la educación superior</t>
  </si>
  <si>
    <t xml:space="preserve">Incrementar la permanencia en el sistema de educación superior de 2.000 jóvenes en situación de vulnerabilidad
</t>
  </si>
  <si>
    <t>Diseñar/rediseñar los programas académicos del proyecto de la mano con los sectores productivos</t>
  </si>
  <si>
    <t xml:space="preserve">Facilitar la inserción de los jóvenes beneficiarios del proyecto al mundo laboral. </t>
  </si>
  <si>
    <t xml:space="preserve">Articular instituciones educativas públicas de enseñanza media a la educación técnica profesional </t>
  </si>
  <si>
    <t>2.000 jóvenes financiados para su acceso y permanencia en la educación superior</t>
  </si>
  <si>
    <t>2.000 jóvenes nivelados académicamente para facilitar su acceso a la educación superior</t>
  </si>
  <si>
    <t xml:space="preserve">Disminución de la tasa de deserción por cohorte para el grupo de beneficiarios del proyecto 2 puntos por debajo de la tasa de deserción promedio en programas técnicos profesionales y tecnológicos </t>
  </si>
  <si>
    <t>6 programas académicos técnicos profesionales y tecnológicos diseñados o rediseñados en conjunto con los sectores productivos y desarrollados en 4 y 6 períodos académicos</t>
  </si>
  <si>
    <t>600 jóvenes beneficiarios insertados al mundo laboral</t>
  </si>
  <si>
    <t xml:space="preserve">500 jóvenes constituyen emprendimientos </t>
  </si>
  <si>
    <t>1.600 jóvenes de 42 instituciones de enseñanza media desarrollan matrícula dual (en 10 y 11 y programa técnico profesional) en articulación con instituciones de educación superior</t>
  </si>
  <si>
    <t xml:space="preserve">Financiación de los estudiantes en la educación superior: 
- Identificación de los jóvenes beneficiarios del proyecto como población vulnerable elegible para subsidios educativos
- Inclusión de beneficiarios en la financiación del ICETEX en convenios con IES y gobiernos departamental y locales
- Aplicación de subsidios durante su tiempo de estudio. </t>
  </si>
  <si>
    <t>Nivelación en matemáticas, lectoescritura y herramientas computacionales</t>
  </si>
  <si>
    <t xml:space="preserve">Acciones de promoción de la permanencia: 
- Apoyo psicosocial
- Tutorías académicas
-  Escuela de padres
- Sistema de alertas de deserción 
- Orientación vocacional
</t>
  </si>
  <si>
    <t xml:space="preserve">Talleres con empresarios para identificación de perfiles de formación y ocupacionales y revisión de competencias y de la malla curricular. </t>
  </si>
  <si>
    <t>Puesta en marcha de los programas técnicos profesionales y tecnológicos</t>
  </si>
  <si>
    <t>Intermediación laboral con el sector empresarial del norte del Cauca y sur del Valle para el desarrollo de prácticas y pasantías y vinculación.</t>
  </si>
  <si>
    <t>Capacitación, acompañamiento a emprendimientos de los jóvenes en planes de negocio a través de la Unidad Técnica de Emprendimiento y participación en convocatorias para consecución de fondos.</t>
  </si>
  <si>
    <t xml:space="preserve">Articulación de las I.E.M con las Instituciones de Educación Superior: 
- Ajuste de los Proyectos Educativos Institucionales de 42 IEM del norte 
- Capacitación de los docentes de la media técnica para la articulación con los programas técnicos profesionales
</t>
  </si>
  <si>
    <t>TOTAL FASE DE INVERSIÓN</t>
  </si>
  <si>
    <t>INVERSIÓN (AÑO 3)</t>
  </si>
  <si>
    <t>INVERSIÓN (AÑO 4)</t>
  </si>
  <si>
    <t>1.1. Mano de obra calificada.</t>
  </si>
  <si>
    <t>FLUJO NETO DE CAJA</t>
  </si>
  <si>
    <t>AÑO 5</t>
  </si>
  <si>
    <t>Ingresos de los técnicos</t>
  </si>
  <si>
    <t>PROYECCIÓN DEL SALARIO MÍNIMO</t>
  </si>
  <si>
    <t>SMMVL</t>
  </si>
  <si>
    <t>FACTOR DE INFLACIÓN</t>
  </si>
  <si>
    <t>NUMERO DE TÉCNICOS</t>
  </si>
  <si>
    <t>NUMERO DE TECNÓLOGOS</t>
  </si>
  <si>
    <t>AÑOS PROYECTADOS</t>
  </si>
  <si>
    <t xml:space="preserve">Inversión del proyecto </t>
  </si>
  <si>
    <t>TOTAL FLUJO NETO DE CAJA</t>
  </si>
  <si>
    <t>TIR =</t>
  </si>
  <si>
    <t>Ingresos de los tecnólogos</t>
  </si>
  <si>
    <t>|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</si>
</sst>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0.0%"/>
    <numFmt numFmtId="172" formatCode="[$USD]\ #,##0"/>
    <numFmt numFmtId="173" formatCode="[$USD]\ #,##0.00"/>
    <numFmt numFmtId="174" formatCode="_(* #,##0_);_(* \(#,##0\);_(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_);_(* \(#,##0.0\);_(* &quot;-&quot;?_);_(@_)"/>
  </numFmts>
  <fonts count="11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12"/>
      <name val="Arial Black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12"/>
      <name val="Arial"/>
      <family val="2"/>
    </font>
    <font>
      <b/>
      <sz val="7"/>
      <name val="Calibri"/>
      <family val="2"/>
    </font>
    <font>
      <b/>
      <sz val="12"/>
      <color indexed="10"/>
      <name val="Arial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1"/>
    </font>
    <font>
      <b/>
      <sz val="12"/>
      <color indexed="52"/>
      <name val="Arial Black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6"/>
      <color theme="1"/>
      <name val="Arial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ck"/>
      <top/>
      <bottom style="thin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92" fillId="28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8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97" fillId="20" borderId="5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91" fillId="0" borderId="8" applyNumberFormat="0" applyFill="0" applyAlignment="0" applyProtection="0"/>
    <xf numFmtId="0" fontId="103" fillId="0" borderId="9" applyNumberFormat="0" applyFill="0" applyAlignment="0" applyProtection="0"/>
  </cellStyleXfs>
  <cellXfs count="54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15" fillId="32" borderId="0" xfId="0" applyNumberFormat="1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15" fillId="32" borderId="11" xfId="0" applyNumberFormat="1" applyFont="1" applyFill="1" applyBorder="1" applyAlignment="1">
      <alignment/>
    </xf>
    <xf numFmtId="3" fontId="33" fillId="34" borderId="12" xfId="0" applyNumberFormat="1" applyFont="1" applyFill="1" applyBorder="1" applyAlignment="1">
      <alignment wrapText="1"/>
    </xf>
    <xf numFmtId="3" fontId="33" fillId="34" borderId="12" xfId="0" applyNumberFormat="1" applyFont="1" applyFill="1" applyBorder="1" applyAlignment="1">
      <alignment horizontal="center" wrapText="1"/>
    </xf>
    <xf numFmtId="3" fontId="15" fillId="32" borderId="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0" fillId="32" borderId="10" xfId="50" applyNumberFormat="1" applyFont="1" applyFill="1" applyBorder="1" applyAlignment="1">
      <alignment/>
    </xf>
    <xf numFmtId="3" fontId="32" fillId="33" borderId="1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3" fontId="34" fillId="32" borderId="0" xfId="0" applyNumberFormat="1" applyFont="1" applyFill="1" applyBorder="1" applyAlignment="1">
      <alignment horizontal="center" vertical="center" wrapText="1"/>
    </xf>
    <xf numFmtId="3" fontId="33" fillId="32" borderId="0" xfId="0" applyNumberFormat="1" applyFont="1" applyFill="1" applyBorder="1" applyAlignment="1">
      <alignment horizontal="center" wrapText="1"/>
    </xf>
    <xf numFmtId="3" fontId="3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5" fillId="0" borderId="10" xfId="0" applyNumberFormat="1" applyFont="1" applyFill="1" applyBorder="1" applyAlignment="1">
      <alignment vertical="top" wrapText="1"/>
    </xf>
    <xf numFmtId="172" fontId="32" fillId="33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2" fillId="32" borderId="10" xfId="50" applyNumberFormat="1" applyFont="1" applyFill="1" applyBorder="1" applyAlignment="1">
      <alignment/>
    </xf>
    <xf numFmtId="3" fontId="14" fillId="32" borderId="10" xfId="0" applyNumberFormat="1" applyFont="1" applyFill="1" applyBorder="1" applyAlignment="1">
      <alignment/>
    </xf>
    <xf numFmtId="3" fontId="14" fillId="32" borderId="0" xfId="0" applyNumberFormat="1" applyFont="1" applyFill="1" applyBorder="1" applyAlignment="1">
      <alignment/>
    </xf>
    <xf numFmtId="3" fontId="36" fillId="35" borderId="10" xfId="0" applyNumberFormat="1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horizontal="center"/>
    </xf>
    <xf numFmtId="0" fontId="85" fillId="0" borderId="0" xfId="54">
      <alignment/>
      <protection/>
    </xf>
    <xf numFmtId="0" fontId="0" fillId="0" borderId="13" xfId="0" applyBorder="1" applyAlignment="1">
      <alignment/>
    </xf>
    <xf numFmtId="0" fontId="85" fillId="0" borderId="13" xfId="54" applyBorder="1">
      <alignment/>
      <protection/>
    </xf>
    <xf numFmtId="3" fontId="35" fillId="32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73" fontId="38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center"/>
    </xf>
    <xf numFmtId="0" fontId="85" fillId="36" borderId="15" xfId="54" applyFill="1" applyBorder="1" applyAlignment="1">
      <alignment horizontal="center" vertical="top" wrapText="1"/>
      <protection/>
    </xf>
    <xf numFmtId="0" fontId="85" fillId="33" borderId="15" xfId="54" applyFill="1" applyBorder="1" applyAlignment="1">
      <alignment horizontal="center" vertical="top" wrapText="1"/>
      <protection/>
    </xf>
    <xf numFmtId="0" fontId="85" fillId="0" borderId="0" xfId="54" applyBorder="1">
      <alignment/>
      <protection/>
    </xf>
    <xf numFmtId="0" fontId="85" fillId="0" borderId="13" xfId="54" applyBorder="1" applyAlignment="1">
      <alignment horizontal="center"/>
      <protection/>
    </xf>
    <xf numFmtId="0" fontId="85" fillId="32" borderId="13" xfId="54" applyFill="1" applyBorder="1">
      <alignment/>
      <protection/>
    </xf>
    <xf numFmtId="0" fontId="44" fillId="34" borderId="10" xfId="0" applyFont="1" applyFill="1" applyBorder="1" applyAlignment="1">
      <alignment/>
    </xf>
    <xf numFmtId="0" fontId="45" fillId="0" borderId="10" xfId="54" applyFont="1" applyBorder="1" applyAlignment="1">
      <alignment horizontal="center"/>
      <protection/>
    </xf>
    <xf numFmtId="0" fontId="45" fillId="0" borderId="15" xfId="54" applyFont="1" applyBorder="1" applyAlignment="1">
      <alignment horizontal="center"/>
      <protection/>
    </xf>
    <xf numFmtId="0" fontId="45" fillId="37" borderId="16" xfId="54" applyFont="1" applyFill="1" applyBorder="1" applyAlignment="1">
      <alignment horizontal="center"/>
      <protection/>
    </xf>
    <xf numFmtId="0" fontId="31" fillId="35" borderId="10" xfId="54" applyFont="1" applyFill="1" applyBorder="1" applyAlignment="1">
      <alignment horizontal="center"/>
      <protection/>
    </xf>
    <xf numFmtId="0" fontId="31" fillId="35" borderId="15" xfId="54" applyFont="1" applyFill="1" applyBorder="1" applyAlignment="1">
      <alignment horizontal="center"/>
      <protection/>
    </xf>
    <xf numFmtId="0" fontId="85" fillId="0" borderId="10" xfId="54" applyBorder="1" applyAlignment="1">
      <alignment horizontal="right"/>
      <protection/>
    </xf>
    <xf numFmtId="0" fontId="46" fillId="0" borderId="15" xfId="54" applyFont="1" applyBorder="1" applyAlignment="1">
      <alignment horizontal="center"/>
      <protection/>
    </xf>
    <xf numFmtId="0" fontId="46" fillId="0" borderId="10" xfId="54" applyFont="1" applyBorder="1" applyAlignment="1">
      <alignment horizontal="center"/>
      <protection/>
    </xf>
    <xf numFmtId="0" fontId="30" fillId="33" borderId="10" xfId="54" applyFont="1" applyFill="1" applyBorder="1" applyAlignment="1">
      <alignment/>
      <protection/>
    </xf>
    <xf numFmtId="0" fontId="30" fillId="33" borderId="10" xfId="54" applyFont="1" applyFill="1" applyBorder="1" applyAlignment="1">
      <alignment horizontal="center"/>
      <protection/>
    </xf>
    <xf numFmtId="0" fontId="47" fillId="0" borderId="10" xfId="54" applyFont="1" applyBorder="1" applyAlignment="1">
      <alignment horizontal="center"/>
      <protection/>
    </xf>
    <xf numFmtId="0" fontId="48" fillId="0" borderId="10" xfId="54" applyFont="1" applyBorder="1" applyAlignment="1">
      <alignment horizontal="center"/>
      <protection/>
    </xf>
    <xf numFmtId="0" fontId="48" fillId="0" borderId="15" xfId="54" applyFont="1" applyBorder="1" applyAlignment="1">
      <alignment horizontal="center"/>
      <protection/>
    </xf>
    <xf numFmtId="0" fontId="48" fillId="0" borderId="10" xfId="54" applyFont="1" applyBorder="1">
      <alignment/>
      <protection/>
    </xf>
    <xf numFmtId="0" fontId="47" fillId="0" borderId="15" xfId="54" applyFont="1" applyBorder="1" applyAlignment="1">
      <alignment horizontal="center"/>
      <protection/>
    </xf>
    <xf numFmtId="0" fontId="47" fillId="37" borderId="16" xfId="54" applyFont="1" applyFill="1" applyBorder="1" applyAlignment="1">
      <alignment horizontal="center"/>
      <protection/>
    </xf>
    <xf numFmtId="0" fontId="85" fillId="0" borderId="10" xfId="54" applyBorder="1" applyAlignment="1">
      <alignment horizontal="right" vertical="top" wrapText="1"/>
      <protection/>
    </xf>
    <xf numFmtId="0" fontId="47" fillId="10" borderId="17" xfId="54" applyFont="1" applyFill="1" applyBorder="1" applyAlignment="1">
      <alignment horizontal="center"/>
      <protection/>
    </xf>
    <xf numFmtId="0" fontId="31" fillId="37" borderId="10" xfId="54" applyFont="1" applyFill="1" applyBorder="1" applyAlignment="1">
      <alignment horizontal="right"/>
      <protection/>
    </xf>
    <xf numFmtId="0" fontId="31" fillId="37" borderId="10" xfId="54" applyFont="1" applyFill="1" applyBorder="1" applyAlignment="1">
      <alignment horizontal="right" vertical="center" wrapText="1"/>
      <protection/>
    </xf>
    <xf numFmtId="0" fontId="48" fillId="0" borderId="10" xfId="54" applyFont="1" applyBorder="1" applyAlignment="1">
      <alignment horizontal="center" wrapText="1"/>
      <protection/>
    </xf>
    <xf numFmtId="0" fontId="49" fillId="0" borderId="15" xfId="54" applyFont="1" applyBorder="1" applyAlignment="1">
      <alignment horizontal="center"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9" fillId="0" borderId="18" xfId="54" applyFont="1" applyBorder="1" applyAlignment="1">
      <alignment horizontal="center"/>
      <protection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18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2" fillId="18" borderId="0" xfId="0" applyFont="1" applyFill="1" applyAlignment="1">
      <alignment/>
    </xf>
    <xf numFmtId="3" fontId="25" fillId="41" borderId="19" xfId="0" applyNumberFormat="1" applyFont="1" applyFill="1" applyBorder="1" applyAlignment="1">
      <alignment horizontal="justify" vertical="top"/>
    </xf>
    <xf numFmtId="3" fontId="31" fillId="32" borderId="18" xfId="53" applyNumberFormat="1" applyFont="1" applyFill="1" applyBorder="1" applyAlignment="1">
      <alignment horizontal="justify" vertical="top"/>
    </xf>
    <xf numFmtId="3" fontId="31" fillId="32" borderId="10" xfId="53" applyNumberFormat="1" applyFont="1" applyFill="1" applyBorder="1" applyAlignment="1">
      <alignment horizontal="justify" vertical="top"/>
    </xf>
    <xf numFmtId="3" fontId="25" fillId="42" borderId="18" xfId="0" applyNumberFormat="1" applyFont="1" applyFill="1" applyBorder="1" applyAlignment="1">
      <alignment horizontal="justify" vertical="top"/>
    </xf>
    <xf numFmtId="3" fontId="25" fillId="42" borderId="18" xfId="0" applyNumberFormat="1" applyFont="1" applyFill="1" applyBorder="1" applyAlignment="1">
      <alignment horizontal="right" vertical="top"/>
    </xf>
    <xf numFmtId="3" fontId="25" fillId="41" borderId="10" xfId="0" applyNumberFormat="1" applyFont="1" applyFill="1" applyBorder="1" applyAlignment="1">
      <alignment horizontal="justify" vertical="top"/>
    </xf>
    <xf numFmtId="3" fontId="25" fillId="41" borderId="10" xfId="0" applyNumberFormat="1" applyFont="1" applyFill="1" applyBorder="1" applyAlignment="1">
      <alignment horizontal="right" vertical="top"/>
    </xf>
    <xf numFmtId="3" fontId="27" fillId="4" borderId="10" xfId="0" applyNumberFormat="1" applyFont="1" applyFill="1" applyBorder="1" applyAlignment="1">
      <alignment horizontal="justify" vertical="top"/>
    </xf>
    <xf numFmtId="3" fontId="25" fillId="4" borderId="10" xfId="0" applyNumberFormat="1" applyFont="1" applyFill="1" applyBorder="1" applyAlignment="1">
      <alignment horizontal="right" vertical="top"/>
    </xf>
    <xf numFmtId="3" fontId="25" fillId="32" borderId="10" xfId="0" applyNumberFormat="1" applyFont="1" applyFill="1" applyBorder="1" applyAlignment="1">
      <alignment horizontal="right" vertical="top"/>
    </xf>
    <xf numFmtId="3" fontId="51" fillId="32" borderId="10" xfId="0" applyNumberFormat="1" applyFont="1" applyFill="1" applyBorder="1" applyAlignment="1">
      <alignment horizontal="right" vertical="top"/>
    </xf>
    <xf numFmtId="3" fontId="27" fillId="32" borderId="10" xfId="0" applyNumberFormat="1" applyFont="1" applyFill="1" applyBorder="1" applyAlignment="1">
      <alignment horizontal="right" vertical="top"/>
    </xf>
    <xf numFmtId="3" fontId="28" fillId="32" borderId="10" xfId="53" applyNumberFormat="1" applyFont="1" applyFill="1" applyBorder="1" applyAlignment="1">
      <alignment horizontal="justify" vertical="top"/>
    </xf>
    <xf numFmtId="3" fontId="51" fillId="32" borderId="10" xfId="53" applyNumberFormat="1" applyFont="1" applyFill="1" applyBorder="1" applyAlignment="1">
      <alignment horizontal="justify" vertical="top"/>
    </xf>
    <xf numFmtId="3" fontId="51" fillId="32" borderId="10" xfId="53" applyNumberFormat="1" applyFont="1" applyFill="1" applyBorder="1" applyAlignment="1">
      <alignment horizontal="right" vertical="top"/>
    </xf>
    <xf numFmtId="3" fontId="29" fillId="42" borderId="18" xfId="0" applyNumberFormat="1" applyFont="1" applyFill="1" applyBorder="1" applyAlignment="1">
      <alignment horizontal="justify" vertical="top"/>
    </xf>
    <xf numFmtId="3" fontId="29" fillId="42" borderId="18" xfId="0" applyNumberFormat="1" applyFont="1" applyFill="1" applyBorder="1" applyAlignment="1">
      <alignment horizontal="right" vertical="top"/>
    </xf>
    <xf numFmtId="3" fontId="25" fillId="41" borderId="20" xfId="0" applyNumberFormat="1" applyFont="1" applyFill="1" applyBorder="1" applyAlignment="1">
      <alignment horizontal="justify" vertical="top"/>
    </xf>
    <xf numFmtId="3" fontId="25" fillId="41" borderId="18" xfId="0" applyNumberFormat="1" applyFont="1" applyFill="1" applyBorder="1" applyAlignment="1">
      <alignment horizontal="right" vertical="top"/>
    </xf>
    <xf numFmtId="3" fontId="25" fillId="42" borderId="21" xfId="0" applyNumberFormat="1" applyFont="1" applyFill="1" applyBorder="1" applyAlignment="1">
      <alignment horizontal="right" vertical="top"/>
    </xf>
    <xf numFmtId="3" fontId="29" fillId="42" borderId="21" xfId="0" applyNumberFormat="1" applyFont="1" applyFill="1" applyBorder="1" applyAlignment="1">
      <alignment horizontal="right" vertical="top"/>
    </xf>
    <xf numFmtId="3" fontId="25" fillId="42" borderId="10" xfId="0" applyNumberFormat="1" applyFont="1" applyFill="1" applyBorder="1" applyAlignment="1">
      <alignment horizontal="right" vertical="top"/>
    </xf>
    <xf numFmtId="3" fontId="29" fillId="42" borderId="10" xfId="0" applyNumberFormat="1" applyFont="1" applyFill="1" applyBorder="1" applyAlignment="1">
      <alignment horizontal="right" vertical="top"/>
    </xf>
    <xf numFmtId="3" fontId="26" fillId="41" borderId="20" xfId="0" applyNumberFormat="1" applyFont="1" applyFill="1" applyBorder="1" applyAlignment="1">
      <alignment horizontal="justify" vertical="top"/>
    </xf>
    <xf numFmtId="3" fontId="25" fillId="41" borderId="21" xfId="0" applyNumberFormat="1" applyFont="1" applyFill="1" applyBorder="1" applyAlignment="1">
      <alignment horizontal="right" vertical="top"/>
    </xf>
    <xf numFmtId="174" fontId="0" fillId="0" borderId="10" xfId="48" applyNumberFormat="1" applyFont="1" applyBorder="1" applyAlignment="1">
      <alignment/>
    </xf>
    <xf numFmtId="174" fontId="0" fillId="0" borderId="0" xfId="48" applyNumberFormat="1" applyFont="1" applyAlignment="1">
      <alignment/>
    </xf>
    <xf numFmtId="174" fontId="0" fillId="0" borderId="0" xfId="48" applyNumberFormat="1" applyFont="1" applyAlignment="1">
      <alignment/>
    </xf>
    <xf numFmtId="174" fontId="8" fillId="0" borderId="0" xfId="48" applyNumberFormat="1" applyFont="1" applyAlignment="1">
      <alignment/>
    </xf>
    <xf numFmtId="174" fontId="11" fillId="0" borderId="0" xfId="48" applyNumberFormat="1" applyFont="1" applyBorder="1" applyAlignment="1">
      <alignment/>
    </xf>
    <xf numFmtId="174" fontId="15" fillId="32" borderId="0" xfId="48" applyNumberFormat="1" applyFont="1" applyFill="1" applyBorder="1" applyAlignment="1">
      <alignment horizontal="center"/>
    </xf>
    <xf numFmtId="174" fontId="16" fillId="32" borderId="0" xfId="48" applyNumberFormat="1" applyFont="1" applyFill="1" applyBorder="1" applyAlignment="1">
      <alignment/>
    </xf>
    <xf numFmtId="174" fontId="40" fillId="32" borderId="10" xfId="48" applyNumberFormat="1" applyFont="1" applyFill="1" applyBorder="1" applyAlignment="1">
      <alignment horizontal="center"/>
    </xf>
    <xf numFmtId="174" fontId="8" fillId="0" borderId="0" xfId="48" applyNumberFormat="1" applyFont="1" applyAlignment="1">
      <alignment/>
    </xf>
    <xf numFmtId="174" fontId="17" fillId="0" borderId="0" xfId="48" applyNumberFormat="1" applyFont="1" applyFill="1" applyBorder="1" applyAlignment="1">
      <alignment/>
    </xf>
    <xf numFmtId="174" fontId="15" fillId="32" borderId="11" xfId="48" applyNumberFormat="1" applyFont="1" applyFill="1" applyBorder="1" applyAlignment="1">
      <alignment/>
    </xf>
    <xf numFmtId="174" fontId="37" fillId="32" borderId="11" xfId="48" applyNumberFormat="1" applyFont="1" applyFill="1" applyBorder="1" applyAlignment="1">
      <alignment/>
    </xf>
    <xf numFmtId="174" fontId="15" fillId="32" borderId="0" xfId="48" applyNumberFormat="1" applyFont="1" applyFill="1" applyBorder="1" applyAlignment="1">
      <alignment/>
    </xf>
    <xf numFmtId="174" fontId="15" fillId="43" borderId="12" xfId="48" applyNumberFormat="1" applyFont="1" applyFill="1" applyBorder="1" applyAlignment="1">
      <alignment/>
    </xf>
    <xf numFmtId="174" fontId="18" fillId="44" borderId="12" xfId="48" applyNumberFormat="1" applyFont="1" applyFill="1" applyBorder="1" applyAlignment="1">
      <alignment horizontal="center" wrapText="1"/>
    </xf>
    <xf numFmtId="174" fontId="15" fillId="43" borderId="14" xfId="48" applyNumberFormat="1" applyFont="1" applyFill="1" applyBorder="1" applyAlignment="1">
      <alignment/>
    </xf>
    <xf numFmtId="174" fontId="33" fillId="34" borderId="12" xfId="48" applyNumberFormat="1" applyFont="1" applyFill="1" applyBorder="1" applyAlignment="1">
      <alignment wrapText="1"/>
    </xf>
    <xf numFmtId="174" fontId="33" fillId="34" borderId="10" xfId="48" applyNumberFormat="1" applyFont="1" applyFill="1" applyBorder="1" applyAlignment="1">
      <alignment wrapText="1"/>
    </xf>
    <xf numFmtId="174" fontId="18" fillId="44" borderId="10" xfId="48" applyNumberFormat="1" applyFont="1" applyFill="1" applyBorder="1" applyAlignment="1">
      <alignment horizontal="center" wrapText="1"/>
    </xf>
    <xf numFmtId="174" fontId="33" fillId="45" borderId="10" xfId="48" applyNumberFormat="1" applyFont="1" applyFill="1" applyBorder="1" applyAlignment="1">
      <alignment wrapText="1"/>
    </xf>
    <xf numFmtId="174" fontId="16" fillId="0" borderId="0" xfId="48" applyNumberFormat="1" applyFont="1" applyBorder="1" applyAlignment="1">
      <alignment/>
    </xf>
    <xf numFmtId="174" fontId="18" fillId="34" borderId="12" xfId="48" applyNumberFormat="1" applyFont="1" applyFill="1" applyBorder="1" applyAlignment="1">
      <alignment horizontal="center" wrapText="1"/>
    </xf>
    <xf numFmtId="174" fontId="18" fillId="44" borderId="10" xfId="48" applyNumberFormat="1" applyFont="1" applyFill="1" applyBorder="1" applyAlignment="1">
      <alignment horizontal="center"/>
    </xf>
    <xf numFmtId="174" fontId="33" fillId="34" borderId="12" xfId="48" applyNumberFormat="1" applyFont="1" applyFill="1" applyBorder="1" applyAlignment="1">
      <alignment horizontal="center" wrapText="1"/>
    </xf>
    <xf numFmtId="174" fontId="33" fillId="34" borderId="10" xfId="48" applyNumberFormat="1" applyFont="1" applyFill="1" applyBorder="1" applyAlignment="1">
      <alignment horizontal="center" wrapText="1"/>
    </xf>
    <xf numFmtId="174" fontId="18" fillId="34" borderId="10" xfId="48" applyNumberFormat="1" applyFont="1" applyFill="1" applyBorder="1" applyAlignment="1">
      <alignment horizontal="center" wrapText="1"/>
    </xf>
    <xf numFmtId="174" fontId="33" fillId="45" borderId="10" xfId="48" applyNumberFormat="1" applyFont="1" applyFill="1" applyBorder="1" applyAlignment="1">
      <alignment horizontal="center" wrapText="1"/>
    </xf>
    <xf numFmtId="174" fontId="18" fillId="45" borderId="10" xfId="48" applyNumberFormat="1" applyFont="1" applyFill="1" applyBorder="1" applyAlignment="1">
      <alignment horizontal="center" wrapText="1"/>
    </xf>
    <xf numFmtId="174" fontId="16" fillId="0" borderId="0" xfId="48" applyNumberFormat="1" applyFont="1" applyFill="1" applyBorder="1" applyAlignment="1">
      <alignment/>
    </xf>
    <xf numFmtId="174" fontId="18" fillId="32" borderId="0" xfId="48" applyNumberFormat="1" applyFont="1" applyFill="1" applyBorder="1" applyAlignment="1">
      <alignment horizontal="center" wrapText="1"/>
    </xf>
    <xf numFmtId="174" fontId="18" fillId="32" borderId="0" xfId="48" applyNumberFormat="1" applyFont="1" applyFill="1" applyBorder="1" applyAlignment="1">
      <alignment horizontal="center"/>
    </xf>
    <xf numFmtId="174" fontId="33" fillId="32" borderId="0" xfId="48" applyNumberFormat="1" applyFont="1" applyFill="1" applyBorder="1" applyAlignment="1">
      <alignment horizontal="center" wrapText="1"/>
    </xf>
    <xf numFmtId="174" fontId="16" fillId="32" borderId="0" xfId="48" applyNumberFormat="1" applyFont="1" applyFill="1" applyBorder="1" applyAlignment="1">
      <alignment/>
    </xf>
    <xf numFmtId="174" fontId="16" fillId="32" borderId="13" xfId="48" applyNumberFormat="1" applyFont="1" applyFill="1" applyBorder="1" applyAlignment="1">
      <alignment/>
    </xf>
    <xf numFmtId="174" fontId="16" fillId="32" borderId="22" xfId="48" applyNumberFormat="1" applyFont="1" applyFill="1" applyBorder="1" applyAlignment="1">
      <alignment/>
    </xf>
    <xf numFmtId="174" fontId="9" fillId="0" borderId="15" xfId="48" applyNumberFormat="1" applyFont="1" applyFill="1" applyBorder="1" applyAlignment="1">
      <alignment horizontal="center"/>
    </xf>
    <xf numFmtId="174" fontId="9" fillId="0" borderId="21" xfId="48" applyNumberFormat="1" applyFont="1" applyFill="1" applyBorder="1" applyAlignment="1">
      <alignment horizontal="center"/>
    </xf>
    <xf numFmtId="174" fontId="0" fillId="0" borderId="15" xfId="48" applyNumberFormat="1" applyFont="1" applyBorder="1" applyAlignment="1">
      <alignment/>
    </xf>
    <xf numFmtId="174" fontId="0" fillId="0" borderId="10" xfId="48" applyNumberFormat="1" applyFont="1" applyBorder="1" applyAlignment="1">
      <alignment horizontal="center"/>
    </xf>
    <xf numFmtId="174" fontId="0" fillId="0" borderId="10" xfId="48" applyNumberFormat="1" applyFont="1" applyBorder="1" applyAlignment="1">
      <alignment/>
    </xf>
    <xf numFmtId="174" fontId="0" fillId="32" borderId="10" xfId="48" applyNumberFormat="1" applyFont="1" applyFill="1" applyBorder="1" applyAlignment="1">
      <alignment/>
    </xf>
    <xf numFmtId="174" fontId="32" fillId="33" borderId="10" xfId="48" applyNumberFormat="1" applyFont="1" applyFill="1" applyBorder="1" applyAlignment="1">
      <alignment/>
    </xf>
    <xf numFmtId="174" fontId="43" fillId="33" borderId="10" xfId="48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4" fontId="6" fillId="0" borderId="10" xfId="48" applyNumberFormat="1" applyFont="1" applyFill="1" applyBorder="1" applyAlignment="1">
      <alignment/>
    </xf>
    <xf numFmtId="174" fontId="6" fillId="0" borderId="10" xfId="48" applyNumberFormat="1" applyFont="1" applyFill="1" applyBorder="1" applyAlignment="1">
      <alignment horizontal="center"/>
    </xf>
    <xf numFmtId="174" fontId="6" fillId="0" borderId="15" xfId="48" applyNumberFormat="1" applyFont="1" applyFill="1" applyBorder="1" applyAlignment="1">
      <alignment horizontal="center"/>
    </xf>
    <xf numFmtId="174" fontId="0" fillId="0" borderId="13" xfId="48" applyNumberFormat="1" applyFont="1" applyBorder="1" applyAlignment="1">
      <alignment/>
    </xf>
    <xf numFmtId="174" fontId="0" fillId="0" borderId="0" xfId="48" applyNumberFormat="1" applyFont="1" applyBorder="1" applyAlignment="1">
      <alignment/>
    </xf>
    <xf numFmtId="174" fontId="0" fillId="0" borderId="22" xfId="48" applyNumberFormat="1" applyFont="1" applyBorder="1" applyAlignment="1">
      <alignment/>
    </xf>
    <xf numFmtId="174" fontId="7" fillId="0" borderId="15" xfId="48" applyNumberFormat="1" applyFont="1" applyFill="1" applyBorder="1" applyAlignment="1">
      <alignment horizontal="center"/>
    </xf>
    <xf numFmtId="174" fontId="7" fillId="0" borderId="18" xfId="48" applyNumberFormat="1" applyFont="1" applyFill="1" applyBorder="1" applyAlignment="1">
      <alignment horizontal="center"/>
    </xf>
    <xf numFmtId="174" fontId="8" fillId="32" borderId="10" xfId="48" applyNumberFormat="1" applyFont="1" applyFill="1" applyBorder="1" applyAlignment="1">
      <alignment/>
    </xf>
    <xf numFmtId="174" fontId="0" fillId="32" borderId="15" xfId="48" applyNumberFormat="1" applyFont="1" applyFill="1" applyBorder="1" applyAlignment="1">
      <alignment/>
    </xf>
    <xf numFmtId="174" fontId="11" fillId="32" borderId="0" xfId="48" applyNumberFormat="1" applyFont="1" applyFill="1" applyBorder="1" applyAlignment="1">
      <alignment/>
    </xf>
    <xf numFmtId="174" fontId="0" fillId="0" borderId="10" xfId="48" applyNumberFormat="1" applyFont="1" applyBorder="1" applyAlignment="1">
      <alignment horizontal="left"/>
    </xf>
    <xf numFmtId="174" fontId="10" fillId="0" borderId="10" xfId="48" applyNumberFormat="1" applyFont="1" applyBorder="1" applyAlignment="1">
      <alignment/>
    </xf>
    <xf numFmtId="174" fontId="8" fillId="0" borderId="10" xfId="48" applyNumberFormat="1" applyFont="1" applyBorder="1" applyAlignment="1">
      <alignment/>
    </xf>
    <xf numFmtId="174" fontId="32" fillId="33" borderId="10" xfId="48" applyNumberFormat="1" applyFont="1" applyFill="1" applyBorder="1" applyAlignment="1">
      <alignment/>
    </xf>
    <xf numFmtId="174" fontId="32" fillId="33" borderId="10" xfId="48" applyNumberFormat="1" applyFont="1" applyFill="1" applyBorder="1" applyAlignment="1">
      <alignment horizontal="center"/>
    </xf>
    <xf numFmtId="174" fontId="2" fillId="32" borderId="10" xfId="48" applyNumberFormat="1" applyFont="1" applyFill="1" applyBorder="1" applyAlignment="1">
      <alignment/>
    </xf>
    <xf numFmtId="174" fontId="2" fillId="32" borderId="15" xfId="48" applyNumberFormat="1" applyFont="1" applyFill="1" applyBorder="1" applyAlignment="1">
      <alignment/>
    </xf>
    <xf numFmtId="174" fontId="11" fillId="32" borderId="15" xfId="48" applyNumberFormat="1" applyFont="1" applyFill="1" applyBorder="1" applyAlignment="1">
      <alignment horizontal="center"/>
    </xf>
    <xf numFmtId="174" fontId="0" fillId="0" borderId="15" xfId="48" applyNumberFormat="1" applyFont="1" applyBorder="1" applyAlignment="1">
      <alignment/>
    </xf>
    <xf numFmtId="174" fontId="0" fillId="0" borderId="10" xfId="48" applyNumberFormat="1" applyFont="1" applyFill="1" applyBorder="1" applyAlignment="1">
      <alignment/>
    </xf>
    <xf numFmtId="174" fontId="0" fillId="0" borderId="14" xfId="48" applyNumberFormat="1" applyFont="1" applyFill="1" applyBorder="1" applyAlignment="1">
      <alignment/>
    </xf>
    <xf numFmtId="174" fontId="0" fillId="0" borderId="15" xfId="48" applyNumberFormat="1" applyFont="1" applyFill="1" applyBorder="1" applyAlignment="1">
      <alignment/>
    </xf>
    <xf numFmtId="174" fontId="11" fillId="0" borderId="0" xfId="48" applyNumberFormat="1" applyFont="1" applyFill="1" applyBorder="1" applyAlignment="1">
      <alignment/>
    </xf>
    <xf numFmtId="174" fontId="6" fillId="0" borderId="10" xfId="48" applyNumberFormat="1" applyFont="1" applyFill="1" applyBorder="1" applyAlignment="1">
      <alignment/>
    </xf>
    <xf numFmtId="174" fontId="0" fillId="0" borderId="10" xfId="48" applyNumberFormat="1" applyFont="1" applyBorder="1" applyAlignment="1">
      <alignment/>
    </xf>
    <xf numFmtId="174" fontId="11" fillId="0" borderId="10" xfId="48" applyNumberFormat="1" applyFont="1" applyBorder="1" applyAlignment="1">
      <alignment/>
    </xf>
    <xf numFmtId="174" fontId="0" fillId="0" borderId="10" xfId="48" applyNumberFormat="1" applyFont="1" applyBorder="1" applyAlignment="1">
      <alignment/>
    </xf>
    <xf numFmtId="174" fontId="41" fillId="0" borderId="10" xfId="48" applyNumberFormat="1" applyFont="1" applyBorder="1" applyAlignment="1">
      <alignment/>
    </xf>
    <xf numFmtId="174" fontId="2" fillId="43" borderId="14" xfId="48" applyNumberFormat="1" applyFont="1" applyFill="1" applyBorder="1" applyAlignment="1">
      <alignment/>
    </xf>
    <xf numFmtId="174" fontId="2" fillId="0" borderId="10" xfId="48" applyNumberFormat="1" applyFont="1" applyBorder="1" applyAlignment="1">
      <alignment/>
    </xf>
    <xf numFmtId="174" fontId="42" fillId="0" borderId="10" xfId="48" applyNumberFormat="1" applyFont="1" applyBorder="1" applyAlignment="1">
      <alignment horizontal="center"/>
    </xf>
    <xf numFmtId="174" fontId="42" fillId="0" borderId="10" xfId="48" applyNumberFormat="1" applyFont="1" applyBorder="1" applyAlignment="1">
      <alignment/>
    </xf>
    <xf numFmtId="174" fontId="41" fillId="0" borderId="10" xfId="48" applyNumberFormat="1" applyFont="1" applyBorder="1" applyAlignment="1">
      <alignment horizontal="center"/>
    </xf>
    <xf numFmtId="174" fontId="38" fillId="32" borderId="10" xfId="48" applyNumberFormat="1" applyFont="1" applyFill="1" applyBorder="1" applyAlignment="1">
      <alignment/>
    </xf>
    <xf numFmtId="174" fontId="38" fillId="32" borderId="23" xfId="48" applyNumberFormat="1" applyFont="1" applyFill="1" applyBorder="1" applyAlignment="1">
      <alignment/>
    </xf>
    <xf numFmtId="174" fontId="39" fillId="32" borderId="10" xfId="48" applyNumberFormat="1" applyFont="1" applyFill="1" applyBorder="1" applyAlignment="1">
      <alignment/>
    </xf>
    <xf numFmtId="174" fontId="39" fillId="32" borderId="15" xfId="48" applyNumberFormat="1" applyFont="1" applyFill="1" applyBorder="1" applyAlignment="1">
      <alignment/>
    </xf>
    <xf numFmtId="174" fontId="50" fillId="46" borderId="10" xfId="48" applyNumberFormat="1" applyFont="1" applyFill="1" applyBorder="1" applyAlignment="1">
      <alignment/>
    </xf>
    <xf numFmtId="174" fontId="38" fillId="37" borderId="10" xfId="48" applyNumberFormat="1" applyFont="1" applyFill="1" applyBorder="1" applyAlignment="1">
      <alignment/>
    </xf>
    <xf numFmtId="174" fontId="2" fillId="0" borderId="0" xfId="48" applyNumberFormat="1" applyFont="1" applyAlignment="1">
      <alignment/>
    </xf>
    <xf numFmtId="174" fontId="39" fillId="32" borderId="24" xfId="48" applyNumberFormat="1" applyFont="1" applyFill="1" applyBorder="1" applyAlignment="1">
      <alignment/>
    </xf>
    <xf numFmtId="174" fontId="10" fillId="0" borderId="0" xfId="48" applyNumberFormat="1" applyFont="1" applyBorder="1" applyAlignment="1">
      <alignment/>
    </xf>
    <xf numFmtId="174" fontId="2" fillId="0" borderId="0" xfId="48" applyNumberFormat="1" applyFont="1" applyBorder="1" applyAlignment="1">
      <alignment/>
    </xf>
    <xf numFmtId="174" fontId="22" fillId="0" borderId="0" xfId="48" applyNumberFormat="1" applyFont="1" applyBorder="1" applyAlignment="1">
      <alignment/>
    </xf>
    <xf numFmtId="174" fontId="5" fillId="0" borderId="0" xfId="48" applyNumberFormat="1" applyFont="1" applyBorder="1" applyAlignment="1">
      <alignment/>
    </xf>
    <xf numFmtId="0" fontId="10" fillId="18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4" fillId="36" borderId="15" xfId="54" applyFont="1" applyFill="1" applyBorder="1" applyAlignment="1">
      <alignment horizontal="center" vertical="top" wrapText="1"/>
      <protection/>
    </xf>
    <xf numFmtId="0" fontId="55" fillId="35" borderId="10" xfId="54" applyFont="1" applyFill="1" applyBorder="1" applyAlignment="1">
      <alignment horizontal="center"/>
      <protection/>
    </xf>
    <xf numFmtId="0" fontId="56" fillId="0" borderId="10" xfId="54" applyFont="1" applyBorder="1" applyAlignment="1">
      <alignment horizontal="center"/>
      <protection/>
    </xf>
    <xf numFmtId="0" fontId="54" fillId="0" borderId="10" xfId="54" applyFont="1" applyBorder="1" applyAlignment="1">
      <alignment horizontal="center"/>
      <protection/>
    </xf>
    <xf numFmtId="0" fontId="55" fillId="0" borderId="10" xfId="54" applyFont="1" applyBorder="1" applyAlignment="1">
      <alignment horizontal="center"/>
      <protection/>
    </xf>
    <xf numFmtId="0" fontId="56" fillId="0" borderId="10" xfId="54" applyFont="1" applyBorder="1">
      <alignment/>
      <protection/>
    </xf>
    <xf numFmtId="3" fontId="0" fillId="32" borderId="10" xfId="0" applyNumberFormat="1" applyFont="1" applyFill="1" applyBorder="1" applyAlignment="1">
      <alignment horizontal="left" wrapText="1"/>
    </xf>
    <xf numFmtId="3" fontId="3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3" fontId="0" fillId="32" borderId="10" xfId="0" applyNumberFormat="1" applyFont="1" applyFill="1" applyBorder="1" applyAlignment="1">
      <alignment vertical="top" wrapText="1"/>
    </xf>
    <xf numFmtId="9" fontId="11" fillId="0" borderId="0" xfId="56" applyFont="1" applyBorder="1" applyAlignment="1">
      <alignment/>
    </xf>
    <xf numFmtId="171" fontId="0" fillId="0" borderId="0" xfId="56" applyNumberFormat="1" applyFont="1" applyAlignment="1">
      <alignment/>
    </xf>
    <xf numFmtId="174" fontId="0" fillId="47" borderId="10" xfId="48" applyNumberFormat="1" applyFont="1" applyFill="1" applyBorder="1" applyAlignment="1">
      <alignment/>
    </xf>
    <xf numFmtId="9" fontId="8" fillId="0" borderId="0" xfId="56" applyFont="1" applyAlignment="1">
      <alignment/>
    </xf>
    <xf numFmtId="3" fontId="8" fillId="0" borderId="10" xfId="0" applyNumberFormat="1" applyFont="1" applyBorder="1" applyAlignment="1">
      <alignment/>
    </xf>
    <xf numFmtId="3" fontId="14" fillId="32" borderId="10" xfId="0" applyNumberFormat="1" applyFont="1" applyFill="1" applyBorder="1" applyAlignment="1">
      <alignment vertical="top" wrapText="1"/>
    </xf>
    <xf numFmtId="174" fontId="0" fillId="18" borderId="10" xfId="48" applyNumberFormat="1" applyFont="1" applyFill="1" applyBorder="1" applyAlignment="1">
      <alignment/>
    </xf>
    <xf numFmtId="171" fontId="0" fillId="0" borderId="10" xfId="56" applyNumberFormat="1" applyFont="1" applyBorder="1" applyAlignment="1">
      <alignment/>
    </xf>
    <xf numFmtId="174" fontId="0" fillId="0" borderId="25" xfId="48" applyNumberFormat="1" applyFont="1" applyBorder="1" applyAlignment="1">
      <alignment/>
    </xf>
    <xf numFmtId="174" fontId="0" fillId="0" borderId="19" xfId="48" applyNumberFormat="1" applyFont="1" applyBorder="1" applyAlignment="1">
      <alignment/>
    </xf>
    <xf numFmtId="174" fontId="0" fillId="0" borderId="26" xfId="48" applyNumberFormat="1" applyFont="1" applyBorder="1" applyAlignment="1">
      <alignment/>
    </xf>
    <xf numFmtId="174" fontId="0" fillId="0" borderId="27" xfId="48" applyNumberFormat="1" applyFont="1" applyBorder="1" applyAlignment="1">
      <alignment/>
    </xf>
    <xf numFmtId="174" fontId="0" fillId="0" borderId="28" xfId="48" applyNumberFormat="1" applyFont="1" applyBorder="1" applyAlignment="1">
      <alignment/>
    </xf>
    <xf numFmtId="174" fontId="2" fillId="0" borderId="29" xfId="48" applyNumberFormat="1" applyFont="1" applyBorder="1" applyAlignment="1">
      <alignment/>
    </xf>
    <xf numFmtId="174" fontId="2" fillId="0" borderId="30" xfId="48" applyNumberFormat="1" applyFont="1" applyBorder="1" applyAlignment="1">
      <alignment/>
    </xf>
    <xf numFmtId="174" fontId="2" fillId="0" borderId="31" xfId="48" applyNumberFormat="1" applyFont="1" applyBorder="1" applyAlignment="1">
      <alignment/>
    </xf>
    <xf numFmtId="174" fontId="2" fillId="0" borderId="19" xfId="48" applyNumberFormat="1" applyFont="1" applyBorder="1" applyAlignment="1">
      <alignment/>
    </xf>
    <xf numFmtId="174" fontId="2" fillId="0" borderId="27" xfId="48" applyNumberFormat="1" applyFont="1" applyBorder="1" applyAlignment="1">
      <alignment/>
    </xf>
    <xf numFmtId="3" fontId="57" fillId="0" borderId="24" xfId="0" applyNumberFormat="1" applyFont="1" applyFill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/>
    </xf>
    <xf numFmtId="174" fontId="22" fillId="0" borderId="21" xfId="48" applyNumberFormat="1" applyFont="1" applyBorder="1" applyAlignment="1">
      <alignment horizontal="center" vertical="center" wrapText="1"/>
    </xf>
    <xf numFmtId="174" fontId="0" fillId="0" borderId="0" xfId="48" applyNumberFormat="1" applyFont="1" applyBorder="1" applyAlignment="1">
      <alignment horizontal="center" vertical="center" wrapText="1"/>
    </xf>
    <xf numFmtId="174" fontId="0" fillId="0" borderId="21" xfId="48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174" fontId="0" fillId="0" borderId="0" xfId="48" applyNumberFormat="1" applyFont="1" applyBorder="1" applyAlignment="1">
      <alignment/>
    </xf>
    <xf numFmtId="9" fontId="0" fillId="0" borderId="0" xfId="56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4" fontId="2" fillId="0" borderId="21" xfId="48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174" fontId="0" fillId="0" borderId="21" xfId="48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174" fontId="0" fillId="0" borderId="11" xfId="48" applyNumberFormat="1" applyFont="1" applyBorder="1" applyAlignment="1">
      <alignment horizontal="center" vertical="center"/>
    </xf>
    <xf numFmtId="174" fontId="0" fillId="0" borderId="11" xfId="48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174" fontId="0" fillId="0" borderId="0" xfId="48" applyNumberFormat="1" applyFont="1" applyFill="1" applyBorder="1" applyAlignment="1">
      <alignment/>
    </xf>
    <xf numFmtId="174" fontId="0" fillId="0" borderId="21" xfId="48" applyNumberFormat="1" applyFont="1" applyFill="1" applyBorder="1" applyAlignment="1">
      <alignment/>
    </xf>
    <xf numFmtId="174" fontId="104" fillId="0" borderId="0" xfId="48" applyNumberFormat="1" applyFont="1" applyAlignment="1">
      <alignment/>
    </xf>
    <xf numFmtId="174" fontId="105" fillId="0" borderId="0" xfId="48" applyNumberFormat="1" applyFont="1" applyAlignment="1">
      <alignment/>
    </xf>
    <xf numFmtId="174" fontId="105" fillId="0" borderId="0" xfId="48" applyNumberFormat="1" applyFont="1" applyFill="1" applyAlignment="1">
      <alignment/>
    </xf>
    <xf numFmtId="174" fontId="106" fillId="0" borderId="0" xfId="48" applyNumberFormat="1" applyFont="1" applyBorder="1" applyAlignment="1">
      <alignment/>
    </xf>
    <xf numFmtId="174" fontId="11" fillId="48" borderId="0" xfId="48" applyNumberFormat="1" applyFont="1" applyFill="1" applyBorder="1" applyAlignment="1">
      <alignment/>
    </xf>
    <xf numFmtId="174" fontId="0" fillId="49" borderId="10" xfId="48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50" borderId="10" xfId="0" applyFont="1" applyFill="1" applyBorder="1" applyAlignment="1">
      <alignment vertical="center" wrapText="1"/>
    </xf>
    <xf numFmtId="0" fontId="49" fillId="5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9" fontId="0" fillId="0" borderId="0" xfId="56" applyFont="1" applyBorder="1" applyAlignment="1">
      <alignment horizontal="center" vertical="center"/>
    </xf>
    <xf numFmtId="3" fontId="0" fillId="0" borderId="0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/>
    </xf>
    <xf numFmtId="3" fontId="3" fillId="0" borderId="24" xfId="0" applyNumberFormat="1" applyFont="1" applyBorder="1" applyAlignment="1">
      <alignment horizontal="left" vertical="center" wrapText="1"/>
    </xf>
    <xf numFmtId="3" fontId="0" fillId="0" borderId="24" xfId="48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10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174" fontId="0" fillId="0" borderId="10" xfId="48" applyNumberFormat="1" applyFont="1" applyBorder="1" applyAlignment="1">
      <alignment horizontal="center" vertical="center" wrapText="1"/>
    </xf>
    <xf numFmtId="174" fontId="8" fillId="0" borderId="10" xfId="48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8" fillId="0" borderId="32" xfId="0" applyFont="1" applyBorder="1" applyAlignment="1">
      <alignment horizontal="center" vertical="center"/>
    </xf>
    <xf numFmtId="0" fontId="108" fillId="0" borderId="33" xfId="0" applyFont="1" applyBorder="1" applyAlignment="1">
      <alignment horizontal="center" vertical="center"/>
    </xf>
    <xf numFmtId="0" fontId="108" fillId="0" borderId="33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/>
    </xf>
    <xf numFmtId="0" fontId="108" fillId="0" borderId="35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174" fontId="0" fillId="0" borderId="0" xfId="56" applyNumberFormat="1" applyFont="1" applyBorder="1" applyAlignment="1">
      <alignment/>
    </xf>
    <xf numFmtId="174" fontId="105" fillId="0" borderId="0" xfId="48" applyNumberFormat="1" applyFont="1" applyFill="1" applyBorder="1" applyAlignment="1">
      <alignment/>
    </xf>
    <xf numFmtId="174" fontId="0" fillId="0" borderId="11" xfId="48" applyNumberFormat="1" applyFont="1" applyBorder="1" applyAlignment="1">
      <alignment/>
    </xf>
    <xf numFmtId="174" fontId="0" fillId="0" borderId="21" xfId="48" applyNumberFormat="1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49" fillId="50" borderId="0" xfId="0" applyFont="1" applyFill="1" applyBorder="1" applyAlignment="1">
      <alignment vertical="center" wrapText="1"/>
    </xf>
    <xf numFmtId="0" fontId="49" fillId="50" borderId="0" xfId="0" applyFont="1" applyFill="1" applyBorder="1" applyAlignment="1">
      <alignment vertical="center"/>
    </xf>
    <xf numFmtId="9" fontId="22" fillId="0" borderId="0" xfId="56" applyFont="1" applyAlignment="1">
      <alignment horizontal="right" vertical="center"/>
    </xf>
    <xf numFmtId="9" fontId="3" fillId="0" borderId="0" xfId="56" applyFont="1" applyBorder="1" applyAlignment="1">
      <alignment horizontal="right" vertical="center" wrapText="1"/>
    </xf>
    <xf numFmtId="9" fontId="3" fillId="0" borderId="0" xfId="56" applyFont="1" applyBorder="1" applyAlignment="1">
      <alignment horizontal="right"/>
    </xf>
    <xf numFmtId="9" fontId="3" fillId="0" borderId="0" xfId="56" applyFont="1" applyBorder="1" applyAlignment="1">
      <alignment horizontal="right" wrapText="1"/>
    </xf>
    <xf numFmtId="9" fontId="3" fillId="0" borderId="11" xfId="56" applyFont="1" applyBorder="1" applyAlignment="1">
      <alignment horizontal="right" wrapText="1"/>
    </xf>
    <xf numFmtId="9" fontId="3" fillId="0" borderId="24" xfId="56" applyFont="1" applyBorder="1" applyAlignment="1">
      <alignment horizontal="right" vertical="center" wrapText="1"/>
    </xf>
    <xf numFmtId="9" fontId="0" fillId="0" borderId="0" xfId="56" applyFont="1" applyAlignment="1">
      <alignment horizontal="right"/>
    </xf>
    <xf numFmtId="9" fontId="57" fillId="0" borderId="0" xfId="56" applyFont="1" applyAlignment="1">
      <alignment horizontal="right"/>
    </xf>
    <xf numFmtId="9" fontId="0" fillId="0" borderId="21" xfId="56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9" fontId="0" fillId="0" borderId="21" xfId="56" applyFont="1" applyBorder="1" applyAlignment="1">
      <alignment horizontal="right"/>
    </xf>
    <xf numFmtId="174" fontId="0" fillId="0" borderId="0" xfId="48" applyNumberFormat="1" applyFont="1" applyBorder="1" applyAlignment="1">
      <alignment vertical="center"/>
    </xf>
    <xf numFmtId="10" fontId="0" fillId="0" borderId="0" xfId="0" applyNumberFormat="1" applyAlignment="1">
      <alignment/>
    </xf>
    <xf numFmtId="0" fontId="22" fillId="0" borderId="11" xfId="0" applyFont="1" applyBorder="1" applyAlignment="1">
      <alignment horizontal="center"/>
    </xf>
    <xf numFmtId="0" fontId="22" fillId="0" borderId="21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171" fontId="22" fillId="0" borderId="0" xfId="56" applyNumberFormat="1" applyFont="1" applyAlignment="1">
      <alignment horizontal="left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74" fontId="0" fillId="0" borderId="24" xfId="48" applyNumberFormat="1" applyFont="1" applyBorder="1" applyAlignment="1">
      <alignment horizontal="center" vertical="center"/>
    </xf>
    <xf numFmtId="174" fontId="0" fillId="0" borderId="11" xfId="48" applyNumberFormat="1" applyFont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/>
    </xf>
    <xf numFmtId="174" fontId="11" fillId="32" borderId="15" xfId="48" applyNumberFormat="1" applyFont="1" applyFill="1" applyBorder="1" applyAlignment="1">
      <alignment horizontal="center"/>
    </xf>
    <xf numFmtId="174" fontId="11" fillId="32" borderId="21" xfId="48" applyNumberFormat="1" applyFont="1" applyFill="1" applyBorder="1" applyAlignment="1">
      <alignment horizontal="center"/>
    </xf>
    <xf numFmtId="174" fontId="11" fillId="32" borderId="18" xfId="48" applyNumberFormat="1" applyFont="1" applyFill="1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174" fontId="7" fillId="0" borderId="15" xfId="48" applyNumberFormat="1" applyFont="1" applyFill="1" applyBorder="1" applyAlignment="1">
      <alignment horizontal="center"/>
    </xf>
    <xf numFmtId="174" fontId="7" fillId="0" borderId="21" xfId="48" applyNumberFormat="1" applyFont="1" applyFill="1" applyBorder="1" applyAlignment="1">
      <alignment horizontal="center"/>
    </xf>
    <xf numFmtId="174" fontId="7" fillId="0" borderId="18" xfId="48" applyNumberFormat="1" applyFont="1" applyFill="1" applyBorder="1" applyAlignment="1">
      <alignment horizontal="center"/>
    </xf>
    <xf numFmtId="174" fontId="15" fillId="33" borderId="10" xfId="48" applyNumberFormat="1" applyFont="1" applyFill="1" applyBorder="1" applyAlignment="1">
      <alignment horizontal="center"/>
    </xf>
    <xf numFmtId="174" fontId="15" fillId="33" borderId="15" xfId="48" applyNumberFormat="1" applyFont="1" applyFill="1" applyBorder="1" applyAlignment="1">
      <alignment horizontal="center"/>
    </xf>
    <xf numFmtId="174" fontId="18" fillId="44" borderId="10" xfId="48" applyNumberFormat="1" applyFont="1" applyFill="1" applyBorder="1" applyAlignment="1">
      <alignment horizontal="center" wrapText="1"/>
    </xf>
    <xf numFmtId="174" fontId="18" fillId="44" borderId="10" xfId="48" applyNumberFormat="1" applyFont="1" applyFill="1" applyBorder="1" applyAlignment="1">
      <alignment horizontal="center" wrapText="1"/>
    </xf>
    <xf numFmtId="174" fontId="18" fillId="44" borderId="15" xfId="48" applyNumberFormat="1" applyFont="1" applyFill="1" applyBorder="1" applyAlignment="1">
      <alignment horizontal="center" wrapText="1"/>
    </xf>
    <xf numFmtId="3" fontId="7" fillId="0" borderId="15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74" fontId="15" fillId="39" borderId="10" xfId="48" applyNumberFormat="1" applyFont="1" applyFill="1" applyBorder="1" applyAlignment="1">
      <alignment horizontal="center"/>
    </xf>
    <xf numFmtId="174" fontId="18" fillId="34" borderId="10" xfId="48" applyNumberFormat="1" applyFont="1" applyFill="1" applyBorder="1" applyAlignment="1">
      <alignment horizontal="center" wrapText="1"/>
    </xf>
    <xf numFmtId="174" fontId="9" fillId="0" borderId="15" xfId="48" applyNumberFormat="1" applyFont="1" applyFill="1" applyBorder="1" applyAlignment="1">
      <alignment horizontal="center"/>
    </xf>
    <xf numFmtId="174" fontId="9" fillId="0" borderId="21" xfId="48" applyNumberFormat="1" applyFont="1" applyFill="1" applyBorder="1" applyAlignment="1">
      <alignment horizontal="center"/>
    </xf>
    <xf numFmtId="174" fontId="15" fillId="39" borderId="15" xfId="48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3" fontId="15" fillId="1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15" fillId="32" borderId="15" xfId="0" applyNumberFormat="1" applyFont="1" applyFill="1" applyBorder="1" applyAlignment="1">
      <alignment horizontal="center"/>
    </xf>
    <xf numFmtId="3" fontId="15" fillId="32" borderId="21" xfId="0" applyNumberFormat="1" applyFont="1" applyFill="1" applyBorder="1" applyAlignment="1">
      <alignment horizontal="center"/>
    </xf>
    <xf numFmtId="3" fontId="15" fillId="32" borderId="18" xfId="0" applyNumberFormat="1" applyFont="1" applyFill="1" applyBorder="1" applyAlignment="1">
      <alignment horizontal="center"/>
    </xf>
    <xf numFmtId="174" fontId="18" fillId="34" borderId="15" xfId="48" applyNumberFormat="1" applyFont="1" applyFill="1" applyBorder="1" applyAlignment="1">
      <alignment horizontal="center" wrapText="1"/>
    </xf>
    <xf numFmtId="174" fontId="18" fillId="34" borderId="18" xfId="48" applyNumberFormat="1" applyFont="1" applyFill="1" applyBorder="1" applyAlignment="1">
      <alignment horizontal="center" wrapText="1"/>
    </xf>
    <xf numFmtId="174" fontId="15" fillId="46" borderId="15" xfId="48" applyNumberFormat="1" applyFont="1" applyFill="1" applyBorder="1" applyAlignment="1">
      <alignment horizontal="center"/>
    </xf>
    <xf numFmtId="174" fontId="15" fillId="46" borderId="21" xfId="48" applyNumberFormat="1" applyFont="1" applyFill="1" applyBorder="1" applyAlignment="1">
      <alignment horizontal="center"/>
    </xf>
    <xf numFmtId="3" fontId="34" fillId="51" borderId="12" xfId="0" applyNumberFormat="1" applyFont="1" applyFill="1" applyBorder="1" applyAlignment="1">
      <alignment horizontal="center" vertical="center" wrapText="1"/>
    </xf>
    <xf numFmtId="3" fontId="34" fillId="51" borderId="14" xfId="0" applyNumberFormat="1" applyFont="1" applyFill="1" applyBorder="1" applyAlignment="1">
      <alignment horizontal="center" vertical="center" wrapText="1"/>
    </xf>
    <xf numFmtId="3" fontId="20" fillId="46" borderId="21" xfId="0" applyNumberFormat="1" applyFont="1" applyFill="1" applyBorder="1" applyAlignment="1">
      <alignment horizontal="center" wrapText="1"/>
    </xf>
    <xf numFmtId="3" fontId="20" fillId="46" borderId="18" xfId="0" applyNumberFormat="1" applyFont="1" applyFill="1" applyBorder="1" applyAlignment="1">
      <alignment horizontal="center" wrapText="1"/>
    </xf>
    <xf numFmtId="174" fontId="15" fillId="2" borderId="21" xfId="48" applyNumberFormat="1" applyFont="1" applyFill="1" applyBorder="1" applyAlignment="1">
      <alignment horizontal="center"/>
    </xf>
    <xf numFmtId="174" fontId="15" fillId="2" borderId="18" xfId="48" applyNumberFormat="1" applyFont="1" applyFill="1" applyBorder="1" applyAlignment="1">
      <alignment horizontal="center"/>
    </xf>
    <xf numFmtId="174" fontId="15" fillId="2" borderId="15" xfId="48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57" fillId="0" borderId="44" xfId="0" applyNumberFormat="1" applyFont="1" applyFill="1" applyBorder="1" applyAlignment="1">
      <alignment horizontal="center" vertical="center" wrapText="1"/>
    </xf>
    <xf numFmtId="3" fontId="57" fillId="0" borderId="2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4" fontId="40" fillId="0" borderId="10" xfId="48" applyNumberFormat="1" applyFont="1" applyBorder="1" applyAlignment="1">
      <alignment horizontal="center"/>
    </xf>
    <xf numFmtId="174" fontId="18" fillId="45" borderId="10" xfId="48" applyNumberFormat="1" applyFont="1" applyFill="1" applyBorder="1" applyAlignment="1">
      <alignment horizontal="center" wrapText="1"/>
    </xf>
    <xf numFmtId="174" fontId="52" fillId="52" borderId="15" xfId="48" applyNumberFormat="1" applyFont="1" applyFill="1" applyBorder="1" applyAlignment="1">
      <alignment horizontal="center"/>
    </xf>
    <xf numFmtId="174" fontId="52" fillId="52" borderId="21" xfId="48" applyNumberFormat="1" applyFont="1" applyFill="1" applyBorder="1" applyAlignment="1">
      <alignment horizontal="center"/>
    </xf>
    <xf numFmtId="174" fontId="52" fillId="52" borderId="18" xfId="48" applyNumberFormat="1" applyFont="1" applyFill="1" applyBorder="1" applyAlignment="1">
      <alignment horizontal="center"/>
    </xf>
    <xf numFmtId="174" fontId="0" fillId="0" borderId="15" xfId="48" applyNumberFormat="1" applyFont="1" applyBorder="1" applyAlignment="1">
      <alignment horizontal="center"/>
    </xf>
    <xf numFmtId="174" fontId="0" fillId="0" borderId="21" xfId="48" applyNumberFormat="1" applyFont="1" applyBorder="1" applyAlignment="1">
      <alignment horizontal="center"/>
    </xf>
    <xf numFmtId="174" fontId="0" fillId="0" borderId="18" xfId="48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6" fillId="0" borderId="15" xfId="54" applyFont="1" applyBorder="1" applyAlignment="1">
      <alignment horizontal="center"/>
      <protection/>
    </xf>
    <xf numFmtId="0" fontId="46" fillId="0" borderId="18" xfId="54" applyFont="1" applyBorder="1" applyAlignment="1">
      <alignment horizontal="center"/>
      <protection/>
    </xf>
    <xf numFmtId="0" fontId="85" fillId="0" borderId="15" xfId="54" applyBorder="1" applyAlignment="1">
      <alignment horizontal="center"/>
      <protection/>
    </xf>
    <xf numFmtId="0" fontId="85" fillId="0" borderId="18" xfId="54" applyBorder="1" applyAlignment="1">
      <alignment horizontal="center"/>
      <protection/>
    </xf>
    <xf numFmtId="0" fontId="30" fillId="44" borderId="15" xfId="54" applyFont="1" applyFill="1" applyBorder="1" applyAlignment="1">
      <alignment horizontal="center"/>
      <protection/>
    </xf>
    <xf numFmtId="0" fontId="30" fillId="44" borderId="18" xfId="54" applyFont="1" applyFill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" fontId="53" fillId="0" borderId="12" xfId="54" applyNumberFormat="1" applyFont="1" applyBorder="1" applyAlignment="1">
      <alignment horizontal="center" vertical="top" wrapText="1"/>
      <protection/>
    </xf>
    <xf numFmtId="17" fontId="53" fillId="0" borderId="23" xfId="54" applyNumberFormat="1" applyFont="1" applyBorder="1" applyAlignment="1">
      <alignment horizontal="center" vertical="top" wrapText="1"/>
      <protection/>
    </xf>
    <xf numFmtId="17" fontId="54" fillId="0" borderId="12" xfId="54" applyNumberFormat="1" applyFont="1" applyBorder="1" applyAlignment="1">
      <alignment horizontal="center" vertical="top" wrapText="1"/>
      <protection/>
    </xf>
    <xf numFmtId="17" fontId="54" fillId="0" borderId="23" xfId="54" applyNumberFormat="1" applyFont="1" applyBorder="1" applyAlignment="1">
      <alignment horizontal="center" vertical="top" wrapText="1"/>
      <protection/>
    </xf>
    <xf numFmtId="0" fontId="30" fillId="33" borderId="15" xfId="54" applyFont="1" applyFill="1" applyBorder="1" applyAlignment="1">
      <alignment horizontal="center"/>
      <protection/>
    </xf>
    <xf numFmtId="0" fontId="30" fillId="33" borderId="18" xfId="54" applyFont="1" applyFill="1" applyBorder="1" applyAlignment="1">
      <alignment horizontal="center"/>
      <protection/>
    </xf>
    <xf numFmtId="0" fontId="49" fillId="0" borderId="15" xfId="54" applyFont="1" applyBorder="1" applyAlignment="1">
      <alignment horizontal="center"/>
      <protection/>
    </xf>
    <xf numFmtId="0" fontId="49" fillId="0" borderId="18" xfId="54" applyFont="1" applyBorder="1" applyAlignment="1">
      <alignment horizontal="center"/>
      <protection/>
    </xf>
    <xf numFmtId="0" fontId="45" fillId="0" borderId="15" xfId="54" applyFont="1" applyBorder="1" applyAlignment="1">
      <alignment horizontal="center"/>
      <protection/>
    </xf>
    <xf numFmtId="0" fontId="45" fillId="0" borderId="18" xfId="54" applyFont="1" applyBorder="1" applyAlignment="1">
      <alignment horizontal="center"/>
      <protection/>
    </xf>
    <xf numFmtId="0" fontId="0" fillId="53" borderId="21" xfId="0" applyFill="1" applyBorder="1" applyAlignment="1">
      <alignment horizontal="center"/>
    </xf>
    <xf numFmtId="0" fontId="0" fillId="53" borderId="18" xfId="0" applyFill="1" applyBorder="1" applyAlignment="1">
      <alignment horizontal="center"/>
    </xf>
    <xf numFmtId="17" fontId="53" fillId="0" borderId="44" xfId="54" applyNumberFormat="1" applyFont="1" applyBorder="1" applyAlignment="1">
      <alignment horizontal="center" vertical="top" wrapText="1"/>
      <protection/>
    </xf>
    <xf numFmtId="17" fontId="53" fillId="0" borderId="13" xfId="54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5" fillId="47" borderId="10" xfId="0" applyFont="1" applyFill="1" applyBorder="1" applyAlignment="1">
      <alignment horizontal="center" vertical="center"/>
    </xf>
    <xf numFmtId="3" fontId="25" fillId="54" borderId="46" xfId="0" applyNumberFormat="1" applyFont="1" applyFill="1" applyBorder="1" applyAlignment="1">
      <alignment horizontal="center" vertical="center" wrapText="1"/>
    </xf>
    <xf numFmtId="3" fontId="25" fillId="54" borderId="23" xfId="0" applyNumberFormat="1" applyFont="1" applyFill="1" applyBorder="1" applyAlignment="1">
      <alignment horizontal="center" vertical="center" wrapText="1"/>
    </xf>
    <xf numFmtId="0" fontId="23" fillId="47" borderId="47" xfId="0" applyFont="1" applyFill="1" applyBorder="1" applyAlignment="1">
      <alignment horizontal="center" vertical="center" wrapText="1"/>
    </xf>
    <xf numFmtId="0" fontId="23" fillId="47" borderId="48" xfId="0" applyFont="1" applyFill="1" applyBorder="1" applyAlignment="1">
      <alignment horizontal="center" vertical="center" wrapText="1"/>
    </xf>
    <xf numFmtId="3" fontId="24" fillId="54" borderId="46" xfId="0" applyNumberFormat="1" applyFont="1" applyFill="1" applyBorder="1" applyAlignment="1">
      <alignment horizontal="center" vertical="center" wrapText="1"/>
    </xf>
    <xf numFmtId="3" fontId="24" fillId="54" borderId="2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0" fontId="65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10" fillId="0" borderId="37" xfId="0" applyFont="1" applyBorder="1" applyAlignment="1">
      <alignment horizontal="left" vertical="center" wrapText="1"/>
    </xf>
    <xf numFmtId="0" fontId="110" fillId="0" borderId="5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wrapText="1"/>
    </xf>
    <xf numFmtId="174" fontId="22" fillId="0" borderId="0" xfId="48" applyNumberFormat="1" applyFont="1" applyBorder="1" applyAlignment="1">
      <alignment horizontal="center" vertical="center" wrapText="1"/>
    </xf>
    <xf numFmtId="174" fontId="22" fillId="0" borderId="11" xfId="48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174" fontId="0" fillId="0" borderId="0" xfId="48" applyNumberFormat="1" applyFont="1" applyBorder="1" applyAlignment="1">
      <alignment horizontal="center" vertical="center"/>
    </xf>
    <xf numFmtId="9" fontId="3" fillId="0" borderId="24" xfId="56" applyFont="1" applyBorder="1" applyAlignment="1">
      <alignment horizontal="center" vertical="center" wrapText="1"/>
    </xf>
    <xf numFmtId="9" fontId="3" fillId="0" borderId="0" xfId="56" applyFont="1" applyBorder="1" applyAlignment="1">
      <alignment horizontal="center" vertical="center" wrapText="1"/>
    </xf>
    <xf numFmtId="9" fontId="3" fillId="0" borderId="11" xfId="56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74" fontId="22" fillId="0" borderId="24" xfId="48" applyNumberFormat="1" applyFont="1" applyBorder="1" applyAlignment="1">
      <alignment horizontal="center" vertical="center"/>
    </xf>
    <xf numFmtId="174" fontId="22" fillId="0" borderId="11" xfId="48" applyNumberFormat="1" applyFont="1" applyBorder="1" applyAlignment="1">
      <alignment horizontal="center" vertical="center"/>
    </xf>
    <xf numFmtId="174" fontId="22" fillId="0" borderId="0" xfId="48" applyNumberFormat="1" applyFont="1" applyBorder="1" applyAlignment="1">
      <alignment horizontal="center" vertical="center"/>
    </xf>
    <xf numFmtId="9" fontId="22" fillId="0" borderId="24" xfId="56" applyFont="1" applyBorder="1" applyAlignment="1">
      <alignment horizontal="right" vertical="center" wrapText="1"/>
    </xf>
    <xf numFmtId="9" fontId="22" fillId="0" borderId="0" xfId="56" applyFont="1" applyBorder="1" applyAlignment="1">
      <alignment horizontal="right" vertical="center" wrapText="1"/>
    </xf>
    <xf numFmtId="9" fontId="22" fillId="0" borderId="11" xfId="56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Presupuesto1 entra 21 15-07-200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CI196"/>
  <sheetViews>
    <sheetView zoomScalePageLayoutView="0" workbookViewId="0" topLeftCell="A6">
      <pane xSplit="1" ySplit="5" topLeftCell="B146" activePane="bottomRight" state="frozen"/>
      <selection pane="topLeft" activeCell="A6" sqref="A6"/>
      <selection pane="topRight" activeCell="B6" sqref="B6"/>
      <selection pane="bottomLeft" activeCell="A11" sqref="A11"/>
      <selection pane="bottomRight" activeCell="A149" sqref="A149:I156"/>
    </sheetView>
  </sheetViews>
  <sheetFormatPr defaultColWidth="11.421875" defaultRowHeight="12.75"/>
  <cols>
    <col min="1" max="1" width="50.7109375" style="9" customWidth="1"/>
    <col min="2" max="3" width="16.7109375" style="8" hidden="1" customWidth="1"/>
    <col min="4" max="9" width="16.7109375" style="123" customWidth="1"/>
    <col min="10" max="10" width="16.7109375" style="124" customWidth="1"/>
    <col min="11" max="11" width="1.7109375" style="124" customWidth="1"/>
    <col min="12" max="12" width="15.57421875" style="125" customWidth="1"/>
    <col min="13" max="13" width="10.7109375" style="125" customWidth="1"/>
    <col min="14" max="14" width="12.57421875" style="123" customWidth="1"/>
    <col min="15" max="16" width="15.421875" style="123" bestFit="1" customWidth="1"/>
    <col min="17" max="17" width="14.421875" style="123" bestFit="1" customWidth="1"/>
    <col min="18" max="18" width="15.421875" style="123" bestFit="1" customWidth="1"/>
    <col min="19" max="19" width="15.00390625" style="123" customWidth="1"/>
    <col min="20" max="20" width="13.7109375" style="124" customWidth="1"/>
    <col min="21" max="21" width="1.7109375" style="124" customWidth="1"/>
    <col min="22" max="22" width="12.140625" style="126" bestFit="1" customWidth="1"/>
    <col min="23" max="23" width="10.7109375" style="126" customWidth="1"/>
    <col min="24" max="24" width="12.7109375" style="126" customWidth="1"/>
    <col min="25" max="25" width="17.421875" style="126" bestFit="1" customWidth="1"/>
    <col min="26" max="26" width="15.421875" style="126" bestFit="1" customWidth="1"/>
    <col min="27" max="27" width="14.421875" style="126" bestFit="1" customWidth="1"/>
    <col min="28" max="28" width="15.421875" style="126" bestFit="1" customWidth="1"/>
    <col min="29" max="29" width="15.28125" style="126" customWidth="1"/>
    <col min="30" max="30" width="13.7109375" style="126" customWidth="1"/>
    <col min="31" max="31" width="1.7109375" style="124" customWidth="1"/>
    <col min="32" max="32" width="8.421875" style="126" bestFit="1" customWidth="1"/>
    <col min="33" max="33" width="10.7109375" style="126" customWidth="1"/>
    <col min="34" max="34" width="12.7109375" style="126" customWidth="1"/>
    <col min="35" max="35" width="17.421875" style="126" bestFit="1" customWidth="1"/>
    <col min="36" max="36" width="15.421875" style="126" bestFit="1" customWidth="1"/>
    <col min="37" max="37" width="14.421875" style="126" bestFit="1" customWidth="1"/>
    <col min="38" max="38" width="15.421875" style="126" bestFit="1" customWidth="1"/>
    <col min="39" max="39" width="15.00390625" style="126" customWidth="1"/>
    <col min="40" max="40" width="13.140625" style="126" customWidth="1"/>
    <col min="41" max="41" width="1.7109375" style="124" customWidth="1"/>
    <col min="42" max="42" width="9.57421875" style="126" bestFit="1" customWidth="1"/>
    <col min="43" max="43" width="10.7109375" style="126" customWidth="1"/>
    <col min="44" max="44" width="12.7109375" style="126" customWidth="1"/>
    <col min="45" max="45" width="20.00390625" style="126" bestFit="1" customWidth="1"/>
    <col min="46" max="46" width="18.00390625" style="126" bestFit="1" customWidth="1"/>
    <col min="47" max="47" width="24.7109375" style="126" bestFit="1" customWidth="1"/>
    <col min="48" max="48" width="16.57421875" style="126" bestFit="1" customWidth="1"/>
    <col min="49" max="49" width="17.00390625" style="126" bestFit="1" customWidth="1"/>
    <col min="50" max="50" width="18.00390625" style="126" bestFit="1" customWidth="1"/>
    <col min="51" max="51" width="3.7109375" style="126" customWidth="1"/>
    <col min="52" max="87" width="3.00390625" style="6" customWidth="1"/>
  </cols>
  <sheetData>
    <row r="1" ht="14.25" hidden="1"/>
    <row r="2" spans="1:87" s="23" customFormat="1" ht="18" hidden="1">
      <c r="A2" s="409" t="s">
        <v>56</v>
      </c>
      <c r="B2" s="410"/>
      <c r="C2" s="410"/>
      <c r="D2" s="410"/>
      <c r="E2" s="410"/>
      <c r="F2" s="410"/>
      <c r="G2" s="410"/>
      <c r="H2" s="410"/>
      <c r="I2" s="410"/>
      <c r="J2" s="411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8"/>
      <c r="AG2" s="128"/>
      <c r="AH2" s="128"/>
      <c r="AI2" s="128"/>
      <c r="AJ2" s="128"/>
      <c r="AK2" s="128"/>
      <c r="AL2" s="128"/>
      <c r="AM2" s="128"/>
      <c r="AN2" s="128"/>
      <c r="AO2" s="127"/>
      <c r="AP2" s="128"/>
      <c r="AQ2" s="128"/>
      <c r="AR2" s="128"/>
      <c r="AS2" s="128"/>
      <c r="AT2" s="128"/>
      <c r="AU2" s="129" t="e">
        <f>SUM(AT5+AU5+AV5+AW5+AX5)</f>
        <v>#REF!</v>
      </c>
      <c r="AV2" s="128"/>
      <c r="AW2" s="128"/>
      <c r="AX2" s="128"/>
      <c r="AY2" s="128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1:87" ht="15.75" hidden="1">
      <c r="A3" s="9" t="s">
        <v>147</v>
      </c>
      <c r="B3" s="45">
        <v>1825</v>
      </c>
      <c r="AB3" s="126">
        <f>+Y98+AI98</f>
        <v>569744000</v>
      </c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</row>
    <row r="4" spans="2:87" ht="15" hidden="1">
      <c r="B4" s="24"/>
      <c r="C4" s="24"/>
      <c r="D4" s="130"/>
      <c r="E4" s="130"/>
      <c r="G4" s="131"/>
      <c r="H4" s="131"/>
      <c r="I4" s="131"/>
      <c r="J4" s="131"/>
      <c r="K4" s="131"/>
      <c r="L4" s="130"/>
      <c r="M4" s="130"/>
      <c r="N4" s="130"/>
      <c r="O4" s="130"/>
      <c r="Q4" s="131"/>
      <c r="R4" s="131"/>
      <c r="S4" s="131"/>
      <c r="T4" s="131"/>
      <c r="U4" s="131"/>
      <c r="AE4" s="131"/>
      <c r="AO4" s="131"/>
      <c r="AS4" s="126">
        <f>+AS16+AS30</f>
        <v>6311864052.925796</v>
      </c>
      <c r="AU4" s="432">
        <f>+AU5+AV5</f>
        <v>0.0683213233610507</v>
      </c>
      <c r="AV4" s="432"/>
      <c r="AZ4" s="405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</row>
    <row r="5" spans="1:66" s="23" customFormat="1" ht="18" hidden="1">
      <c r="A5" s="28"/>
      <c r="B5" s="25"/>
      <c r="C5" s="25"/>
      <c r="D5" s="132"/>
      <c r="E5" s="132"/>
      <c r="F5" s="132"/>
      <c r="G5" s="133"/>
      <c r="H5" s="132"/>
      <c r="I5" s="132"/>
      <c r="J5" s="132"/>
      <c r="K5" s="134"/>
      <c r="L5" s="132"/>
      <c r="M5" s="132"/>
      <c r="N5" s="132"/>
      <c r="O5" s="132"/>
      <c r="P5" s="132"/>
      <c r="Q5" s="132"/>
      <c r="R5" s="132"/>
      <c r="S5" s="132"/>
      <c r="T5" s="132"/>
      <c r="U5" s="134"/>
      <c r="V5" s="128"/>
      <c r="W5" s="128"/>
      <c r="X5" s="128"/>
      <c r="Y5" s="128"/>
      <c r="Z5" s="128"/>
      <c r="AA5" s="128"/>
      <c r="AB5" s="128"/>
      <c r="AC5" s="128"/>
      <c r="AD5" s="128"/>
      <c r="AE5" s="134"/>
      <c r="AF5" s="128"/>
      <c r="AG5" s="128"/>
      <c r="AH5" s="128"/>
      <c r="AI5" s="128"/>
      <c r="AJ5" s="128"/>
      <c r="AK5" s="128"/>
      <c r="AL5" s="128"/>
      <c r="AM5" s="128"/>
      <c r="AN5" s="128"/>
      <c r="AO5" s="134"/>
      <c r="AP5" s="128"/>
      <c r="AQ5" s="128"/>
      <c r="AR5" s="128"/>
      <c r="AS5" s="128"/>
      <c r="AT5" s="129" t="e">
        <f>+AT111/$AS$111</f>
        <v>#REF!</v>
      </c>
      <c r="AU5" s="129">
        <f>+AU111/AS111</f>
        <v>0</v>
      </c>
      <c r="AV5" s="129">
        <f>+AV111/AS111</f>
        <v>0.0683213233610507</v>
      </c>
      <c r="AW5" s="129">
        <f>+AW111/AS111</f>
        <v>0.17210625924352363</v>
      </c>
      <c r="AX5" s="129">
        <f>+AX111/AS111</f>
        <v>1.177172475642342E-06</v>
      </c>
      <c r="AY5" s="128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</row>
    <row r="6" spans="1:87" s="2" customFormat="1" ht="47.25" customHeight="1">
      <c r="A6" s="28"/>
      <c r="B6" s="418" t="s">
        <v>150</v>
      </c>
      <c r="C6" s="418"/>
      <c r="D6" s="418"/>
      <c r="E6" s="419"/>
      <c r="F6" s="414" t="s">
        <v>65</v>
      </c>
      <c r="G6" s="415"/>
      <c r="H6" s="415"/>
      <c r="I6" s="415"/>
      <c r="J6" s="415"/>
      <c r="K6" s="135"/>
      <c r="L6" s="420" t="s">
        <v>61</v>
      </c>
      <c r="M6" s="420"/>
      <c r="N6" s="420"/>
      <c r="O6" s="421"/>
      <c r="P6" s="422" t="s">
        <v>65</v>
      </c>
      <c r="Q6" s="420"/>
      <c r="R6" s="420"/>
      <c r="S6" s="420"/>
      <c r="T6" s="420"/>
      <c r="U6" s="135"/>
      <c r="V6" s="400" t="s">
        <v>63</v>
      </c>
      <c r="W6" s="400"/>
      <c r="X6" s="400"/>
      <c r="Y6" s="400"/>
      <c r="Z6" s="400" t="s">
        <v>65</v>
      </c>
      <c r="AA6" s="400"/>
      <c r="AB6" s="400"/>
      <c r="AC6" s="400"/>
      <c r="AD6" s="404"/>
      <c r="AE6" s="135"/>
      <c r="AF6" s="392" t="s">
        <v>114</v>
      </c>
      <c r="AG6" s="392"/>
      <c r="AH6" s="392"/>
      <c r="AI6" s="392"/>
      <c r="AJ6" s="392" t="s">
        <v>65</v>
      </c>
      <c r="AK6" s="392"/>
      <c r="AL6" s="392"/>
      <c r="AM6" s="392"/>
      <c r="AN6" s="393"/>
      <c r="AO6" s="135"/>
      <c r="AP6" s="434" t="s">
        <v>67</v>
      </c>
      <c r="AQ6" s="435"/>
      <c r="AR6" s="435"/>
      <c r="AS6" s="435"/>
      <c r="AT6" s="435"/>
      <c r="AU6" s="435"/>
      <c r="AV6" s="435"/>
      <c r="AW6" s="435"/>
      <c r="AX6" s="436"/>
      <c r="AY6" s="126"/>
      <c r="AZ6" s="407" t="s">
        <v>68</v>
      </c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</row>
    <row r="7" spans="1:87" s="3" customFormat="1" ht="17.25" customHeight="1">
      <c r="A7" s="416" t="s">
        <v>60</v>
      </c>
      <c r="B7" s="26"/>
      <c r="C7" s="26"/>
      <c r="D7" s="412" t="s">
        <v>57</v>
      </c>
      <c r="E7" s="413"/>
      <c r="F7" s="136" t="s">
        <v>206</v>
      </c>
      <c r="G7" s="394" t="s">
        <v>281</v>
      </c>
      <c r="H7" s="395"/>
      <c r="I7" s="394" t="s">
        <v>282</v>
      </c>
      <c r="J7" s="396"/>
      <c r="K7" s="137"/>
      <c r="L7" s="138"/>
      <c r="M7" s="138"/>
      <c r="N7" s="412" t="s">
        <v>57</v>
      </c>
      <c r="O7" s="413"/>
      <c r="P7" s="136" t="s">
        <v>206</v>
      </c>
      <c r="Q7" s="394" t="s">
        <v>281</v>
      </c>
      <c r="R7" s="395"/>
      <c r="S7" s="394" t="s">
        <v>282</v>
      </c>
      <c r="T7" s="396"/>
      <c r="U7" s="137"/>
      <c r="V7" s="139"/>
      <c r="W7" s="139"/>
      <c r="X7" s="401" t="s">
        <v>57</v>
      </c>
      <c r="Y7" s="401"/>
      <c r="Z7" s="140" t="s">
        <v>206</v>
      </c>
      <c r="AA7" s="394" t="s">
        <v>281</v>
      </c>
      <c r="AB7" s="395"/>
      <c r="AC7" s="394" t="s">
        <v>282</v>
      </c>
      <c r="AD7" s="396"/>
      <c r="AE7" s="137"/>
      <c r="AF7" s="139"/>
      <c r="AG7" s="139"/>
      <c r="AH7" s="401" t="s">
        <v>57</v>
      </c>
      <c r="AI7" s="401"/>
      <c r="AJ7" s="140" t="s">
        <v>206</v>
      </c>
      <c r="AK7" s="394" t="s">
        <v>281</v>
      </c>
      <c r="AL7" s="395"/>
      <c r="AM7" s="394" t="s">
        <v>282</v>
      </c>
      <c r="AN7" s="396"/>
      <c r="AO7" s="137"/>
      <c r="AP7" s="141"/>
      <c r="AQ7" s="141"/>
      <c r="AR7" s="433" t="s">
        <v>57</v>
      </c>
      <c r="AS7" s="433"/>
      <c r="AT7" s="140" t="s">
        <v>206</v>
      </c>
      <c r="AU7" s="394" t="s">
        <v>281</v>
      </c>
      <c r="AV7" s="395"/>
      <c r="AW7" s="394" t="s">
        <v>282</v>
      </c>
      <c r="AX7" s="395"/>
      <c r="AY7" s="142"/>
      <c r="AZ7" s="408" t="s">
        <v>27</v>
      </c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</row>
    <row r="8" spans="1:87" s="12" customFormat="1" ht="31.5" customHeight="1">
      <c r="A8" s="417"/>
      <c r="B8" s="27" t="s">
        <v>0</v>
      </c>
      <c r="C8" s="27" t="s">
        <v>53</v>
      </c>
      <c r="D8" s="143" t="s">
        <v>59</v>
      </c>
      <c r="E8" s="143" t="s">
        <v>1</v>
      </c>
      <c r="F8" s="144" t="s">
        <v>25</v>
      </c>
      <c r="G8" s="144" t="s">
        <v>25</v>
      </c>
      <c r="H8" s="144" t="s">
        <v>64</v>
      </c>
      <c r="I8" s="144" t="s">
        <v>25</v>
      </c>
      <c r="J8" s="144" t="s">
        <v>64</v>
      </c>
      <c r="K8" s="137"/>
      <c r="L8" s="145" t="s">
        <v>0</v>
      </c>
      <c r="M8" s="145" t="s">
        <v>53</v>
      </c>
      <c r="N8" s="143" t="s">
        <v>59</v>
      </c>
      <c r="O8" s="143" t="s">
        <v>1</v>
      </c>
      <c r="P8" s="144" t="s">
        <v>25</v>
      </c>
      <c r="Q8" s="144" t="s">
        <v>25</v>
      </c>
      <c r="R8" s="144" t="s">
        <v>64</v>
      </c>
      <c r="S8" s="144" t="s">
        <v>25</v>
      </c>
      <c r="T8" s="144" t="s">
        <v>64</v>
      </c>
      <c r="U8" s="137"/>
      <c r="V8" s="146" t="s">
        <v>0</v>
      </c>
      <c r="W8" s="146" t="s">
        <v>53</v>
      </c>
      <c r="X8" s="147" t="s">
        <v>59</v>
      </c>
      <c r="Y8" s="147" t="s">
        <v>1</v>
      </c>
      <c r="Z8" s="144" t="s">
        <v>25</v>
      </c>
      <c r="AA8" s="144" t="s">
        <v>25</v>
      </c>
      <c r="AB8" s="144" t="s">
        <v>64</v>
      </c>
      <c r="AC8" s="144" t="s">
        <v>25</v>
      </c>
      <c r="AD8" s="144" t="s">
        <v>64</v>
      </c>
      <c r="AE8" s="137"/>
      <c r="AF8" s="146" t="s">
        <v>0</v>
      </c>
      <c r="AG8" s="146" t="s">
        <v>53</v>
      </c>
      <c r="AH8" s="147" t="s">
        <v>59</v>
      </c>
      <c r="AI8" s="147" t="s">
        <v>1</v>
      </c>
      <c r="AJ8" s="144" t="s">
        <v>25</v>
      </c>
      <c r="AK8" s="144" t="s">
        <v>25</v>
      </c>
      <c r="AL8" s="144" t="s">
        <v>64</v>
      </c>
      <c r="AM8" s="144" t="s">
        <v>25</v>
      </c>
      <c r="AN8" s="144" t="s">
        <v>64</v>
      </c>
      <c r="AO8" s="137"/>
      <c r="AP8" s="148" t="s">
        <v>0</v>
      </c>
      <c r="AQ8" s="148" t="s">
        <v>53</v>
      </c>
      <c r="AR8" s="149" t="s">
        <v>59</v>
      </c>
      <c r="AS8" s="149" t="s">
        <v>1</v>
      </c>
      <c r="AT8" s="144" t="s">
        <v>25</v>
      </c>
      <c r="AU8" s="144" t="s">
        <v>25</v>
      </c>
      <c r="AV8" s="144" t="s">
        <v>64</v>
      </c>
      <c r="AW8" s="144" t="s">
        <v>25</v>
      </c>
      <c r="AX8" s="144" t="s">
        <v>64</v>
      </c>
      <c r="AY8" s="150"/>
      <c r="AZ8" s="43">
        <v>1</v>
      </c>
      <c r="BA8" s="43">
        <v>2</v>
      </c>
      <c r="BB8" s="43">
        <v>3</v>
      </c>
      <c r="BC8" s="43">
        <v>4</v>
      </c>
      <c r="BD8" s="43">
        <v>5</v>
      </c>
      <c r="BE8" s="43">
        <v>6</v>
      </c>
      <c r="BF8" s="43">
        <v>7</v>
      </c>
      <c r="BG8" s="43">
        <v>8</v>
      </c>
      <c r="BH8" s="43">
        <v>9</v>
      </c>
      <c r="BI8" s="43">
        <v>10</v>
      </c>
      <c r="BJ8" s="43">
        <v>11</v>
      </c>
      <c r="BK8" s="43">
        <v>12</v>
      </c>
      <c r="BL8" s="43">
        <v>13</v>
      </c>
      <c r="BM8" s="43">
        <v>14</v>
      </c>
      <c r="BN8" s="43">
        <v>15</v>
      </c>
      <c r="BO8" s="43">
        <v>16</v>
      </c>
      <c r="BP8" s="43">
        <v>17</v>
      </c>
      <c r="BQ8" s="43">
        <v>18</v>
      </c>
      <c r="BR8" s="43">
        <v>19</v>
      </c>
      <c r="BS8" s="43">
        <v>20</v>
      </c>
      <c r="BT8" s="43">
        <v>21</v>
      </c>
      <c r="BU8" s="43">
        <v>22</v>
      </c>
      <c r="BV8" s="43">
        <v>23</v>
      </c>
      <c r="BW8" s="43">
        <v>24</v>
      </c>
      <c r="BX8" s="43">
        <v>25</v>
      </c>
      <c r="BY8" s="43">
        <v>26</v>
      </c>
      <c r="BZ8" s="43">
        <v>27</v>
      </c>
      <c r="CA8" s="43">
        <v>28</v>
      </c>
      <c r="CB8" s="43">
        <v>29</v>
      </c>
      <c r="CC8" s="43">
        <v>30</v>
      </c>
      <c r="CD8" s="43">
        <v>31</v>
      </c>
      <c r="CE8" s="43">
        <v>32</v>
      </c>
      <c r="CF8" s="43">
        <v>33</v>
      </c>
      <c r="CG8" s="43">
        <v>34</v>
      </c>
      <c r="CH8" s="43">
        <v>35</v>
      </c>
      <c r="CI8" s="43">
        <v>36</v>
      </c>
    </row>
    <row r="9" spans="1:87" s="32" customFormat="1" ht="4.5" customHeight="1">
      <c r="A9" s="33"/>
      <c r="B9" s="34"/>
      <c r="C9" s="34"/>
      <c r="D9" s="151"/>
      <c r="E9" s="151"/>
      <c r="F9" s="152"/>
      <c r="G9" s="152"/>
      <c r="H9" s="152"/>
      <c r="I9" s="152"/>
      <c r="J9" s="152"/>
      <c r="K9" s="137"/>
      <c r="L9" s="153"/>
      <c r="M9" s="153"/>
      <c r="N9" s="151"/>
      <c r="O9" s="151"/>
      <c r="P9" s="152"/>
      <c r="Q9" s="152"/>
      <c r="R9" s="152"/>
      <c r="S9" s="152"/>
      <c r="T9" s="152"/>
      <c r="U9" s="137"/>
      <c r="V9" s="154"/>
      <c r="W9" s="154"/>
      <c r="X9" s="154"/>
      <c r="Y9" s="154"/>
      <c r="Z9" s="154"/>
      <c r="AA9" s="154"/>
      <c r="AB9" s="154"/>
      <c r="AC9" s="154"/>
      <c r="AD9" s="154"/>
      <c r="AE9" s="137"/>
      <c r="AF9" s="154"/>
      <c r="AG9" s="154"/>
      <c r="AH9" s="154"/>
      <c r="AI9" s="154"/>
      <c r="AJ9" s="154"/>
      <c r="AK9" s="154"/>
      <c r="AL9" s="154"/>
      <c r="AM9" s="154"/>
      <c r="AN9" s="154"/>
      <c r="AO9" s="137"/>
      <c r="AP9" s="154"/>
      <c r="AQ9" s="154"/>
      <c r="AR9" s="154"/>
      <c r="AS9" s="154"/>
      <c r="AT9" s="155"/>
      <c r="AU9" s="128"/>
      <c r="AV9" s="128"/>
      <c r="AW9" s="128"/>
      <c r="AX9" s="156"/>
      <c r="AY9" s="154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</row>
    <row r="10" spans="1:87" s="12" customFormat="1" ht="15.75">
      <c r="A10" s="35" t="s">
        <v>58</v>
      </c>
      <c r="B10" s="426"/>
      <c r="C10" s="427"/>
      <c r="D10" s="427"/>
      <c r="E10" s="427"/>
      <c r="F10" s="427"/>
      <c r="G10" s="427"/>
      <c r="H10" s="427"/>
      <c r="I10" s="427"/>
      <c r="J10" s="427"/>
      <c r="K10" s="137"/>
      <c r="L10" s="402"/>
      <c r="M10" s="403"/>
      <c r="N10" s="403"/>
      <c r="O10" s="403"/>
      <c r="P10" s="403"/>
      <c r="Q10" s="403"/>
      <c r="R10" s="403"/>
      <c r="S10" s="403"/>
      <c r="T10" s="403"/>
      <c r="U10" s="137"/>
      <c r="V10" s="402"/>
      <c r="W10" s="403"/>
      <c r="X10" s="403"/>
      <c r="Y10" s="403"/>
      <c r="Z10" s="403"/>
      <c r="AA10" s="403"/>
      <c r="AB10" s="403"/>
      <c r="AC10" s="403"/>
      <c r="AD10" s="403"/>
      <c r="AE10" s="137"/>
      <c r="AF10" s="157"/>
      <c r="AG10" s="158"/>
      <c r="AH10" s="158"/>
      <c r="AI10" s="158"/>
      <c r="AJ10" s="158"/>
      <c r="AK10" s="158"/>
      <c r="AL10" s="158"/>
      <c r="AM10" s="158"/>
      <c r="AN10" s="158"/>
      <c r="AO10" s="137"/>
      <c r="AP10" s="385"/>
      <c r="AQ10" s="386"/>
      <c r="AR10" s="386"/>
      <c r="AS10" s="386"/>
      <c r="AT10" s="386"/>
      <c r="AU10" s="386"/>
      <c r="AV10" s="386"/>
      <c r="AW10" s="386"/>
      <c r="AX10" s="387"/>
      <c r="AY10" s="150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</row>
    <row r="11" spans="1:87" ht="14.25" customHeight="1">
      <c r="A11" s="224" t="s">
        <v>2</v>
      </c>
      <c r="B11" s="36">
        <v>12</v>
      </c>
      <c r="C11" s="7" t="s">
        <v>32</v>
      </c>
      <c r="D11" s="122">
        <v>4000000</v>
      </c>
      <c r="E11" s="122">
        <f>SUM(B11*D11)</f>
        <v>48000000</v>
      </c>
      <c r="F11" s="122">
        <f>SUM(E11)</f>
        <v>48000000</v>
      </c>
      <c r="G11" s="122"/>
      <c r="H11" s="122"/>
      <c r="I11" s="122"/>
      <c r="J11" s="159"/>
      <c r="K11" s="137"/>
      <c r="L11" s="160">
        <v>12</v>
      </c>
      <c r="M11" s="122" t="s">
        <v>32</v>
      </c>
      <c r="N11" s="122">
        <f>SUM(D11)*1.058</f>
        <v>4232000</v>
      </c>
      <c r="O11" s="122">
        <f>SUM(L11*N11)</f>
        <v>50784000</v>
      </c>
      <c r="P11" s="122">
        <f>SUM(O11)</f>
        <v>50784000</v>
      </c>
      <c r="Q11" s="122"/>
      <c r="R11" s="122"/>
      <c r="S11" s="122"/>
      <c r="T11" s="159"/>
      <c r="U11" s="137"/>
      <c r="V11" s="160">
        <v>12</v>
      </c>
      <c r="W11" s="122" t="s">
        <v>32</v>
      </c>
      <c r="X11" s="122">
        <f>SUM(N11)*1.058</f>
        <v>4477456</v>
      </c>
      <c r="Y11" s="122">
        <f>SUM(X11)*V11</f>
        <v>53729472</v>
      </c>
      <c r="Z11" s="161">
        <f>SUM(Y11)</f>
        <v>53729472</v>
      </c>
      <c r="AA11" s="161"/>
      <c r="AB11" s="161"/>
      <c r="AC11" s="161"/>
      <c r="AD11" s="161"/>
      <c r="AE11" s="137"/>
      <c r="AF11" s="160">
        <v>12</v>
      </c>
      <c r="AG11" s="122" t="s">
        <v>32</v>
      </c>
      <c r="AH11" s="122">
        <f>SUM(X11)*1.058</f>
        <v>4737148.448</v>
      </c>
      <c r="AI11" s="122">
        <f>SUM(AH11)*AF11</f>
        <v>56845781.376</v>
      </c>
      <c r="AJ11" s="161">
        <f>SUM(AI11)</f>
        <v>56845781.376</v>
      </c>
      <c r="AK11" s="161"/>
      <c r="AL11" s="161"/>
      <c r="AM11" s="161"/>
      <c r="AN11" s="161"/>
      <c r="AO11" s="137"/>
      <c r="AP11" s="160">
        <f>SUM(V11+L11+B11+AF11)</f>
        <v>48</v>
      </c>
      <c r="AQ11" s="122" t="s">
        <v>32</v>
      </c>
      <c r="AR11" s="122"/>
      <c r="AS11" s="230">
        <f aca="true" t="shared" si="0" ref="AS11:AX11">SUM(Y11+O11+E11+AI11)</f>
        <v>209359253.376</v>
      </c>
      <c r="AT11" s="230">
        <f t="shared" si="0"/>
        <v>209359253.376</v>
      </c>
      <c r="AU11" s="161">
        <f t="shared" si="0"/>
        <v>0</v>
      </c>
      <c r="AV11" s="161">
        <f t="shared" si="0"/>
        <v>0</v>
      </c>
      <c r="AW11" s="161">
        <f t="shared" si="0"/>
        <v>0</v>
      </c>
      <c r="AX11" s="161">
        <f t="shared" si="0"/>
        <v>0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1:87" ht="14.25" customHeight="1">
      <c r="A12" s="224" t="s">
        <v>227</v>
      </c>
      <c r="B12" s="36">
        <v>12</v>
      </c>
      <c r="C12" s="7" t="s">
        <v>32</v>
      </c>
      <c r="D12" s="122">
        <f>3000000*3</f>
        <v>9000000</v>
      </c>
      <c r="E12" s="122">
        <f>SUM(B12*D12)</f>
        <v>108000000</v>
      </c>
      <c r="F12" s="122">
        <f>SUM(E12)</f>
        <v>108000000</v>
      </c>
      <c r="G12" s="122"/>
      <c r="H12" s="122"/>
      <c r="I12" s="122"/>
      <c r="J12" s="159"/>
      <c r="K12" s="137"/>
      <c r="L12" s="160">
        <v>12</v>
      </c>
      <c r="M12" s="122" t="s">
        <v>32</v>
      </c>
      <c r="N12" s="122">
        <f>SUM(D12)*1.058</f>
        <v>9522000</v>
      </c>
      <c r="O12" s="122">
        <f>SUM(L12*N12)</f>
        <v>114264000</v>
      </c>
      <c r="P12" s="122">
        <f>SUM(F12)*1.058</f>
        <v>114264000</v>
      </c>
      <c r="Q12" s="122"/>
      <c r="R12" s="122"/>
      <c r="S12" s="122"/>
      <c r="T12" s="159"/>
      <c r="U12" s="137"/>
      <c r="V12" s="160">
        <v>12</v>
      </c>
      <c r="W12" s="122" t="s">
        <v>32</v>
      </c>
      <c r="X12" s="122">
        <f>SUM(N12)*1.058</f>
        <v>10074276</v>
      </c>
      <c r="Y12" s="122">
        <f>SUM(X12)*V12</f>
        <v>120891312</v>
      </c>
      <c r="Z12" s="161">
        <f>SUM(Y12)</f>
        <v>120891312</v>
      </c>
      <c r="AA12" s="161"/>
      <c r="AB12" s="161"/>
      <c r="AC12" s="161"/>
      <c r="AD12" s="161"/>
      <c r="AE12" s="137"/>
      <c r="AF12" s="160">
        <v>12</v>
      </c>
      <c r="AG12" s="122" t="s">
        <v>32</v>
      </c>
      <c r="AH12" s="122">
        <f>SUM(X12)*1.058</f>
        <v>10658584.008000001</v>
      </c>
      <c r="AI12" s="122">
        <f>SUM(AH12)*AF12</f>
        <v>127903008.09600002</v>
      </c>
      <c r="AJ12" s="161">
        <f>SUM(AI12)</f>
        <v>127903008.09600002</v>
      </c>
      <c r="AK12" s="161"/>
      <c r="AL12" s="161"/>
      <c r="AM12" s="161"/>
      <c r="AN12" s="161"/>
      <c r="AO12" s="137"/>
      <c r="AP12" s="160">
        <f>SUM(V12+L12+B12+AF12)</f>
        <v>48</v>
      </c>
      <c r="AQ12" s="122" t="s">
        <v>32</v>
      </c>
      <c r="AR12" s="122"/>
      <c r="AS12" s="161">
        <f aca="true" t="shared" si="1" ref="AS12:AX15">SUM(Y12+O12+E12+AI12)</f>
        <v>471058320.096</v>
      </c>
      <c r="AT12" s="161">
        <f t="shared" si="1"/>
        <v>471058320.096</v>
      </c>
      <c r="AU12" s="161">
        <f t="shared" si="1"/>
        <v>0</v>
      </c>
      <c r="AV12" s="161">
        <f t="shared" si="1"/>
        <v>0</v>
      </c>
      <c r="AW12" s="161">
        <f t="shared" si="1"/>
        <v>0</v>
      </c>
      <c r="AX12" s="161">
        <f t="shared" si="1"/>
        <v>0</v>
      </c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</row>
    <row r="13" spans="1:87" ht="14.25" customHeight="1">
      <c r="A13" s="224" t="s">
        <v>70</v>
      </c>
      <c r="B13" s="36">
        <v>12</v>
      </c>
      <c r="C13" s="7" t="s">
        <v>32</v>
      </c>
      <c r="D13" s="122">
        <v>1800000</v>
      </c>
      <c r="E13" s="122">
        <f>SUM(B13*D13)</f>
        <v>21600000</v>
      </c>
      <c r="F13" s="122">
        <f>SUM(E13)</f>
        <v>21600000</v>
      </c>
      <c r="G13" s="122"/>
      <c r="H13" s="122"/>
      <c r="I13" s="122"/>
      <c r="J13" s="159"/>
      <c r="K13" s="137"/>
      <c r="L13" s="160">
        <v>12</v>
      </c>
      <c r="M13" s="122" t="s">
        <v>32</v>
      </c>
      <c r="N13" s="122">
        <f>SUM(D13)*1.058</f>
        <v>1904400</v>
      </c>
      <c r="O13" s="122">
        <f>SUM(L13*N13)</f>
        <v>22852800</v>
      </c>
      <c r="P13" s="122">
        <f>SUM(F13)*1.058</f>
        <v>22852800</v>
      </c>
      <c r="Q13" s="122"/>
      <c r="R13" s="122"/>
      <c r="S13" s="122"/>
      <c r="T13" s="159"/>
      <c r="U13" s="137"/>
      <c r="V13" s="160">
        <v>12</v>
      </c>
      <c r="W13" s="122" t="s">
        <v>32</v>
      </c>
      <c r="X13" s="122">
        <f>SUM(N13)*1.058</f>
        <v>2014855.2000000002</v>
      </c>
      <c r="Y13" s="122">
        <f>SUM(X13)*V13</f>
        <v>24178262.400000002</v>
      </c>
      <c r="Z13" s="161">
        <f>SUM(Y13)</f>
        <v>24178262.400000002</v>
      </c>
      <c r="AA13" s="161"/>
      <c r="AB13" s="161"/>
      <c r="AC13" s="161"/>
      <c r="AD13" s="161"/>
      <c r="AE13" s="137"/>
      <c r="AF13" s="160">
        <v>12</v>
      </c>
      <c r="AG13" s="122" t="s">
        <v>32</v>
      </c>
      <c r="AH13" s="122">
        <f>SUM(X13)*1.058</f>
        <v>2131716.8016000004</v>
      </c>
      <c r="AI13" s="122">
        <f>SUM(AH13)*AF13</f>
        <v>25580601.619200006</v>
      </c>
      <c r="AJ13" s="161">
        <f>SUM(AI13)</f>
        <v>25580601.619200006</v>
      </c>
      <c r="AK13" s="161"/>
      <c r="AL13" s="161"/>
      <c r="AM13" s="161"/>
      <c r="AN13" s="161"/>
      <c r="AO13" s="137"/>
      <c r="AP13" s="160">
        <f>SUM(V13+L13+B13+AF13)</f>
        <v>48</v>
      </c>
      <c r="AQ13" s="122" t="s">
        <v>32</v>
      </c>
      <c r="AR13" s="122"/>
      <c r="AS13" s="161">
        <f t="shared" si="1"/>
        <v>94211664.01920001</v>
      </c>
      <c r="AT13" s="161">
        <f t="shared" si="1"/>
        <v>94211664.01920001</v>
      </c>
      <c r="AU13" s="161">
        <f t="shared" si="1"/>
        <v>0</v>
      </c>
      <c r="AV13" s="161">
        <f t="shared" si="1"/>
        <v>0</v>
      </c>
      <c r="AW13" s="161">
        <f t="shared" si="1"/>
        <v>0</v>
      </c>
      <c r="AX13" s="161">
        <f t="shared" si="1"/>
        <v>0</v>
      </c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</row>
    <row r="14" spans="1:87" ht="14.25" customHeight="1">
      <c r="A14" s="224" t="s">
        <v>229</v>
      </c>
      <c r="B14" s="36">
        <v>12</v>
      </c>
      <c r="C14" s="7" t="s">
        <v>32</v>
      </c>
      <c r="D14" s="162">
        <f>2500000*4</f>
        <v>10000000</v>
      </c>
      <c r="E14" s="122">
        <f>SUM(B14*D14)</f>
        <v>120000000</v>
      </c>
      <c r="F14" s="122">
        <f>+E14-H14</f>
        <v>90000000</v>
      </c>
      <c r="G14" s="122"/>
      <c r="H14" s="122">
        <f>+E14/4</f>
        <v>30000000</v>
      </c>
      <c r="I14" s="122"/>
      <c r="J14" s="159"/>
      <c r="K14" s="137"/>
      <c r="L14" s="160">
        <v>12</v>
      </c>
      <c r="M14" s="122" t="s">
        <v>32</v>
      </c>
      <c r="N14" s="162">
        <f>SUM(D14)*1.058</f>
        <v>10580000</v>
      </c>
      <c r="O14" s="122">
        <f>SUM(L14*N14)</f>
        <v>126960000</v>
      </c>
      <c r="P14" s="122">
        <f>+O14-R14</f>
        <v>95220000</v>
      </c>
      <c r="Q14" s="122"/>
      <c r="R14" s="122">
        <f>+O14/4</f>
        <v>31740000</v>
      </c>
      <c r="S14" s="122"/>
      <c r="T14" s="159"/>
      <c r="U14" s="137"/>
      <c r="V14" s="160">
        <v>12</v>
      </c>
      <c r="W14" s="122" t="s">
        <v>32</v>
      </c>
      <c r="X14" s="162">
        <f>SUM(N14)*1.058</f>
        <v>11193640</v>
      </c>
      <c r="Y14" s="122">
        <f>SUM(X14)*V14</f>
        <v>134323680</v>
      </c>
      <c r="Z14" s="161">
        <f>+Y14-AB14</f>
        <v>100742760</v>
      </c>
      <c r="AA14" s="161"/>
      <c r="AB14" s="161">
        <f>+Y14/4</f>
        <v>33580920</v>
      </c>
      <c r="AC14" s="161"/>
      <c r="AD14" s="161"/>
      <c r="AE14" s="137"/>
      <c r="AF14" s="160">
        <v>12</v>
      </c>
      <c r="AG14" s="122" t="s">
        <v>32</v>
      </c>
      <c r="AH14" s="162">
        <f>SUM(X14)*1.058</f>
        <v>11842871.120000001</v>
      </c>
      <c r="AI14" s="122">
        <f>SUM(AH14)*AF14</f>
        <v>142114453.44</v>
      </c>
      <c r="AJ14" s="161">
        <f>+AI14-AL14</f>
        <v>106585840.08</v>
      </c>
      <c r="AK14" s="161"/>
      <c r="AL14" s="161">
        <f>+AI14/4</f>
        <v>35528613.36</v>
      </c>
      <c r="AM14" s="161"/>
      <c r="AN14" s="161"/>
      <c r="AO14" s="137"/>
      <c r="AP14" s="160">
        <f>SUM(V14+L14+B14+AF14)</f>
        <v>48</v>
      </c>
      <c r="AQ14" s="122" t="s">
        <v>32</v>
      </c>
      <c r="AR14" s="162"/>
      <c r="AS14" s="161">
        <f t="shared" si="1"/>
        <v>523398133.44</v>
      </c>
      <c r="AT14" s="161">
        <f t="shared" si="1"/>
        <v>392548600.08</v>
      </c>
      <c r="AU14" s="161">
        <f t="shared" si="1"/>
        <v>0</v>
      </c>
      <c r="AV14" s="161">
        <f t="shared" si="1"/>
        <v>130849533.36</v>
      </c>
      <c r="AW14" s="161">
        <f t="shared" si="1"/>
        <v>0</v>
      </c>
      <c r="AX14" s="161">
        <f t="shared" si="1"/>
        <v>0</v>
      </c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</row>
    <row r="15" spans="1:87" ht="32.25" customHeight="1">
      <c r="A15" s="225" t="s">
        <v>177</v>
      </c>
      <c r="B15" s="36"/>
      <c r="C15" s="7"/>
      <c r="D15" s="162"/>
      <c r="E15" s="122"/>
      <c r="F15" s="122"/>
      <c r="G15" s="122"/>
      <c r="H15" s="122"/>
      <c r="I15" s="122"/>
      <c r="J15" s="159"/>
      <c r="K15" s="137"/>
      <c r="L15" s="160">
        <v>12</v>
      </c>
      <c r="M15" s="122" t="s">
        <v>32</v>
      </c>
      <c r="N15" s="162">
        <f>3000000*2</f>
        <v>6000000</v>
      </c>
      <c r="O15" s="122">
        <f>SUM(L15*N15)</f>
        <v>72000000</v>
      </c>
      <c r="P15" s="122">
        <f>SUM(O15)</f>
        <v>72000000</v>
      </c>
      <c r="Q15" s="122"/>
      <c r="R15" s="122"/>
      <c r="S15" s="122"/>
      <c r="T15" s="159"/>
      <c r="U15" s="137"/>
      <c r="V15" s="160">
        <v>12</v>
      </c>
      <c r="W15" s="122" t="s">
        <v>32</v>
      </c>
      <c r="X15" s="122">
        <f>SUM(N15)*1.058</f>
        <v>6348000</v>
      </c>
      <c r="Y15" s="122">
        <f>SUM(X15)*V15</f>
        <v>76176000</v>
      </c>
      <c r="Z15" s="161">
        <f>SUM(Y15)</f>
        <v>76176000</v>
      </c>
      <c r="AA15" s="161"/>
      <c r="AB15" s="161"/>
      <c r="AC15" s="161"/>
      <c r="AD15" s="161"/>
      <c r="AE15" s="137"/>
      <c r="AF15" s="160">
        <f>+(2*6)</f>
        <v>12</v>
      </c>
      <c r="AG15" s="122" t="s">
        <v>32</v>
      </c>
      <c r="AH15" s="122">
        <f>SUM(X15)*1.058</f>
        <v>6716184</v>
      </c>
      <c r="AI15" s="122">
        <f>SUM(AH15)*AF15</f>
        <v>80594208</v>
      </c>
      <c r="AJ15" s="161">
        <f>SUM(AI15)</f>
        <v>80594208</v>
      </c>
      <c r="AK15" s="161"/>
      <c r="AL15" s="161"/>
      <c r="AM15" s="161"/>
      <c r="AN15" s="161"/>
      <c r="AO15" s="137"/>
      <c r="AP15" s="160">
        <f>SUM(V15+L15+B15+AF15)</f>
        <v>36</v>
      </c>
      <c r="AQ15" s="122" t="s">
        <v>32</v>
      </c>
      <c r="AR15" s="122"/>
      <c r="AS15" s="161">
        <f t="shared" si="1"/>
        <v>228770208</v>
      </c>
      <c r="AT15" s="161">
        <f t="shared" si="1"/>
        <v>228770208</v>
      </c>
      <c r="AU15" s="161">
        <f t="shared" si="1"/>
        <v>0</v>
      </c>
      <c r="AV15" s="161">
        <f t="shared" si="1"/>
        <v>0</v>
      </c>
      <c r="AW15" s="161">
        <f t="shared" si="1"/>
        <v>0</v>
      </c>
      <c r="AX15" s="161">
        <f t="shared" si="1"/>
        <v>0</v>
      </c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</row>
    <row r="16" spans="1:87" s="14" customFormat="1" ht="13.5" customHeight="1">
      <c r="A16" s="21" t="s">
        <v>55</v>
      </c>
      <c r="B16" s="22"/>
      <c r="C16" s="22"/>
      <c r="D16" s="163"/>
      <c r="E16" s="163">
        <f aca="true" t="shared" si="2" ref="E16:J16">SUM(E11:E15)</f>
        <v>297600000</v>
      </c>
      <c r="F16" s="163">
        <f t="shared" si="2"/>
        <v>267600000</v>
      </c>
      <c r="G16" s="163">
        <f t="shared" si="2"/>
        <v>0</v>
      </c>
      <c r="H16" s="163">
        <f t="shared" si="2"/>
        <v>30000000</v>
      </c>
      <c r="I16" s="163">
        <f t="shared" si="2"/>
        <v>0</v>
      </c>
      <c r="J16" s="163">
        <f t="shared" si="2"/>
        <v>0</v>
      </c>
      <c r="K16" s="137"/>
      <c r="L16" s="163"/>
      <c r="M16" s="163"/>
      <c r="N16" s="163"/>
      <c r="O16" s="163">
        <f aca="true" t="shared" si="3" ref="O16:T16">SUM(O11:O15)</f>
        <v>386860800</v>
      </c>
      <c r="P16" s="163">
        <f t="shared" si="3"/>
        <v>355120800</v>
      </c>
      <c r="Q16" s="163">
        <f t="shared" si="3"/>
        <v>0</v>
      </c>
      <c r="R16" s="163">
        <f t="shared" si="3"/>
        <v>31740000</v>
      </c>
      <c r="S16" s="163">
        <f t="shared" si="3"/>
        <v>0</v>
      </c>
      <c r="T16" s="163">
        <f t="shared" si="3"/>
        <v>0</v>
      </c>
      <c r="U16" s="137"/>
      <c r="V16" s="163"/>
      <c r="W16" s="163"/>
      <c r="X16" s="163"/>
      <c r="Y16" s="163">
        <f aca="true" t="shared" si="4" ref="Y16:AD16">SUM(Y11:Y15)</f>
        <v>409298726.4</v>
      </c>
      <c r="Z16" s="163">
        <f t="shared" si="4"/>
        <v>375717806.4</v>
      </c>
      <c r="AA16" s="163">
        <f t="shared" si="4"/>
        <v>0</v>
      </c>
      <c r="AB16" s="163">
        <f t="shared" si="4"/>
        <v>33580920</v>
      </c>
      <c r="AC16" s="163">
        <f t="shared" si="4"/>
        <v>0</v>
      </c>
      <c r="AD16" s="163">
        <f t="shared" si="4"/>
        <v>0</v>
      </c>
      <c r="AE16" s="137"/>
      <c r="AF16" s="163"/>
      <c r="AG16" s="163"/>
      <c r="AH16" s="163"/>
      <c r="AI16" s="163">
        <f aca="true" t="shared" si="5" ref="AI16:AN16">SUM(AI11:AI15)</f>
        <v>433038052.5312</v>
      </c>
      <c r="AJ16" s="163">
        <f t="shared" si="5"/>
        <v>397509439.1712</v>
      </c>
      <c r="AK16" s="163">
        <f t="shared" si="5"/>
        <v>0</v>
      </c>
      <c r="AL16" s="163">
        <f t="shared" si="5"/>
        <v>35528613.36</v>
      </c>
      <c r="AM16" s="163">
        <f t="shared" si="5"/>
        <v>0</v>
      </c>
      <c r="AN16" s="163">
        <f t="shared" si="5"/>
        <v>0</v>
      </c>
      <c r="AO16" s="137"/>
      <c r="AP16" s="163"/>
      <c r="AQ16" s="163"/>
      <c r="AR16" s="163"/>
      <c r="AS16" s="164">
        <f aca="true" t="shared" si="6" ref="AS16:AX16">SUM(AS11:AS15)</f>
        <v>1526797578.9312</v>
      </c>
      <c r="AT16" s="163">
        <f t="shared" si="6"/>
        <v>1395948045.5712</v>
      </c>
      <c r="AU16" s="163">
        <f t="shared" si="6"/>
        <v>0</v>
      </c>
      <c r="AV16" s="163">
        <f t="shared" si="6"/>
        <v>130849533.36</v>
      </c>
      <c r="AW16" s="163">
        <f t="shared" si="6"/>
        <v>0</v>
      </c>
      <c r="AX16" s="163">
        <f t="shared" si="6"/>
        <v>0</v>
      </c>
      <c r="AY16" s="150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</row>
    <row r="17" spans="1:87" s="12" customFormat="1" ht="4.5" customHeight="1">
      <c r="A17" s="13"/>
      <c r="B17" s="34"/>
      <c r="C17" s="34"/>
      <c r="D17" s="151"/>
      <c r="E17" s="151"/>
      <c r="F17" s="152"/>
      <c r="G17" s="152"/>
      <c r="H17" s="152"/>
      <c r="I17" s="152"/>
      <c r="J17" s="152"/>
      <c r="K17" s="137"/>
      <c r="L17" s="165"/>
      <c r="M17" s="165"/>
      <c r="N17" s="166"/>
      <c r="O17" s="166"/>
      <c r="P17" s="166"/>
      <c r="Q17" s="167"/>
      <c r="R17" s="167"/>
      <c r="S17" s="167"/>
      <c r="T17" s="168"/>
      <c r="U17" s="137"/>
      <c r="V17" s="165"/>
      <c r="W17" s="165"/>
      <c r="X17" s="166"/>
      <c r="Y17" s="166"/>
      <c r="Z17" s="166"/>
      <c r="AA17" s="167"/>
      <c r="AB17" s="167"/>
      <c r="AC17" s="167"/>
      <c r="AD17" s="168"/>
      <c r="AE17" s="137"/>
      <c r="AF17" s="165"/>
      <c r="AG17" s="165"/>
      <c r="AH17" s="166"/>
      <c r="AI17" s="166"/>
      <c r="AJ17" s="166"/>
      <c r="AK17" s="167"/>
      <c r="AL17" s="167"/>
      <c r="AM17" s="167"/>
      <c r="AN17" s="168"/>
      <c r="AO17" s="137"/>
      <c r="AP17" s="125"/>
      <c r="AQ17" s="125"/>
      <c r="AR17" s="123"/>
      <c r="AS17" s="123"/>
      <c r="AT17" s="169"/>
      <c r="AU17" s="170"/>
      <c r="AV17" s="170"/>
      <c r="AW17" s="170"/>
      <c r="AX17" s="171"/>
      <c r="AY17" s="150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</row>
    <row r="18" spans="1:87" s="12" customFormat="1" ht="15.75">
      <c r="A18" s="35" t="s">
        <v>148</v>
      </c>
      <c r="B18" s="423"/>
      <c r="C18" s="424"/>
      <c r="D18" s="424"/>
      <c r="E18" s="424"/>
      <c r="F18" s="424"/>
      <c r="G18" s="424"/>
      <c r="H18" s="424"/>
      <c r="I18" s="424"/>
      <c r="J18" s="425"/>
      <c r="K18" s="137"/>
      <c r="L18" s="389"/>
      <c r="M18" s="390"/>
      <c r="N18" s="390"/>
      <c r="O18" s="390"/>
      <c r="P18" s="390"/>
      <c r="Q18" s="390"/>
      <c r="R18" s="390"/>
      <c r="S18" s="390"/>
      <c r="T18" s="391"/>
      <c r="U18" s="137"/>
      <c r="V18" s="389"/>
      <c r="W18" s="390"/>
      <c r="X18" s="390"/>
      <c r="Y18" s="390"/>
      <c r="Z18" s="390"/>
      <c r="AA18" s="390"/>
      <c r="AB18" s="390"/>
      <c r="AC18" s="390"/>
      <c r="AD18" s="391"/>
      <c r="AE18" s="137"/>
      <c r="AF18" s="172"/>
      <c r="AG18" s="173"/>
      <c r="AH18" s="173"/>
      <c r="AI18" s="173"/>
      <c r="AJ18" s="173"/>
      <c r="AK18" s="173"/>
      <c r="AL18" s="173"/>
      <c r="AM18" s="173"/>
      <c r="AN18" s="173"/>
      <c r="AO18" s="137"/>
      <c r="AP18" s="385"/>
      <c r="AQ18" s="386"/>
      <c r="AR18" s="386"/>
      <c r="AS18" s="386"/>
      <c r="AT18" s="386"/>
      <c r="AU18" s="386"/>
      <c r="AV18" s="386"/>
      <c r="AW18" s="386"/>
      <c r="AX18" s="387"/>
      <c r="AY18" s="150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</row>
    <row r="19" spans="1:87" s="4" customFormat="1" ht="12.75" customHeight="1">
      <c r="A19" s="29" t="s">
        <v>71</v>
      </c>
      <c r="B19" s="36">
        <v>1</v>
      </c>
      <c r="C19" s="7" t="s">
        <v>73</v>
      </c>
      <c r="D19" s="162">
        <v>18000000</v>
      </c>
      <c r="E19" s="122">
        <f aca="true" t="shared" si="7" ref="E19:E26">SUM(B19*D19)</f>
        <v>18000000</v>
      </c>
      <c r="F19" s="122">
        <f>SUM(E19)</f>
        <v>18000000</v>
      </c>
      <c r="G19" s="122"/>
      <c r="H19" s="162"/>
      <c r="I19" s="162"/>
      <c r="J19" s="162"/>
      <c r="K19" s="137"/>
      <c r="L19" s="160"/>
      <c r="M19" s="174"/>
      <c r="N19" s="162"/>
      <c r="O19" s="162"/>
      <c r="P19" s="122"/>
      <c r="Q19" s="162"/>
      <c r="R19" s="162"/>
      <c r="S19" s="162"/>
      <c r="T19" s="175"/>
      <c r="U19" s="137"/>
      <c r="V19" s="160"/>
      <c r="W19" s="122"/>
      <c r="X19" s="162"/>
      <c r="Y19" s="122"/>
      <c r="Z19" s="122"/>
      <c r="AA19" s="162"/>
      <c r="AB19" s="162"/>
      <c r="AC19" s="162"/>
      <c r="AD19" s="175"/>
      <c r="AE19" s="137"/>
      <c r="AF19" s="160"/>
      <c r="AG19" s="174"/>
      <c r="AH19" s="162"/>
      <c r="AI19" s="162"/>
      <c r="AJ19" s="122"/>
      <c r="AK19" s="162"/>
      <c r="AL19" s="162"/>
      <c r="AM19" s="162"/>
      <c r="AN19" s="175"/>
      <c r="AO19" s="137"/>
      <c r="AP19" s="160">
        <f>SUM(V19+L19+B19+AF19)</f>
        <v>1</v>
      </c>
      <c r="AQ19" s="122" t="s">
        <v>32</v>
      </c>
      <c r="AR19" s="122"/>
      <c r="AS19" s="161">
        <f aca="true" t="shared" si="8" ref="AS19:AX19">SUM(Y19+O19+E19+AI19)</f>
        <v>18000000</v>
      </c>
      <c r="AT19" s="161">
        <f t="shared" si="8"/>
        <v>18000000</v>
      </c>
      <c r="AU19" s="161">
        <f t="shared" si="8"/>
        <v>0</v>
      </c>
      <c r="AV19" s="161">
        <f t="shared" si="8"/>
        <v>0</v>
      </c>
      <c r="AW19" s="161">
        <f t="shared" si="8"/>
        <v>0</v>
      </c>
      <c r="AX19" s="161">
        <f t="shared" si="8"/>
        <v>0</v>
      </c>
      <c r="AY19" s="176"/>
      <c r="AZ19" s="10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10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</row>
    <row r="20" spans="1:87" ht="12.75" customHeight="1">
      <c r="A20" s="29" t="s">
        <v>74</v>
      </c>
      <c r="B20" s="36">
        <v>2</v>
      </c>
      <c r="C20" s="7" t="s">
        <v>32</v>
      </c>
      <c r="D20" s="122">
        <v>3000000</v>
      </c>
      <c r="E20" s="122">
        <f t="shared" si="7"/>
        <v>6000000</v>
      </c>
      <c r="F20" s="122">
        <f>SUM(E20)</f>
        <v>6000000</v>
      </c>
      <c r="G20" s="122"/>
      <c r="H20" s="122"/>
      <c r="I20" s="122"/>
      <c r="J20" s="122"/>
      <c r="K20" s="137"/>
      <c r="L20" s="160">
        <v>2</v>
      </c>
      <c r="M20" s="177" t="s">
        <v>32</v>
      </c>
      <c r="N20" s="122">
        <f>SUM(D20)*1.058</f>
        <v>3174000</v>
      </c>
      <c r="O20" s="122">
        <f>SUM(N20)*L20</f>
        <v>6348000</v>
      </c>
      <c r="P20" s="122">
        <f>SUM(O20)</f>
        <v>6348000</v>
      </c>
      <c r="Q20" s="122"/>
      <c r="R20" s="122"/>
      <c r="S20" s="122"/>
      <c r="T20" s="122"/>
      <c r="U20" s="137"/>
      <c r="V20" s="160">
        <v>2</v>
      </c>
      <c r="W20" s="178" t="s">
        <v>32</v>
      </c>
      <c r="X20" s="122">
        <f>SUM(N20)*1.058</f>
        <v>3358092</v>
      </c>
      <c r="Y20" s="122">
        <f>SUM(X20)*V20</f>
        <v>6716184</v>
      </c>
      <c r="Z20" s="122">
        <f>SUM(Y20)</f>
        <v>6716184</v>
      </c>
      <c r="AA20" s="122"/>
      <c r="AB20" s="122"/>
      <c r="AC20" s="122"/>
      <c r="AD20" s="122"/>
      <c r="AE20" s="137"/>
      <c r="AF20" s="160">
        <v>2</v>
      </c>
      <c r="AG20" s="179" t="s">
        <v>32</v>
      </c>
      <c r="AH20" s="122">
        <f>SUM(X20)*1.058</f>
        <v>3552861.336</v>
      </c>
      <c r="AI20" s="122">
        <f>SUM(AH20)*AF20</f>
        <v>7105722.672</v>
      </c>
      <c r="AJ20" s="122">
        <f>SUM(AI20)</f>
        <v>7105722.672</v>
      </c>
      <c r="AK20" s="122"/>
      <c r="AL20" s="122"/>
      <c r="AM20" s="122"/>
      <c r="AN20" s="122"/>
      <c r="AO20" s="137"/>
      <c r="AP20" s="160">
        <f aca="true" t="shared" si="9" ref="AP20:AP28">SUM(V20+L20+B20+AF20)</f>
        <v>8</v>
      </c>
      <c r="AQ20" s="122" t="s">
        <v>32</v>
      </c>
      <c r="AR20" s="122"/>
      <c r="AS20" s="161">
        <f aca="true" t="shared" si="10" ref="AS20:AS29">SUM(Y20+O20+E20+AI20)</f>
        <v>26169906.672</v>
      </c>
      <c r="AT20" s="161">
        <f aca="true" t="shared" si="11" ref="AT20:AT29">SUM(Z20+P20+F20+AJ20)</f>
        <v>26169906.672</v>
      </c>
      <c r="AU20" s="161">
        <f aca="true" t="shared" si="12" ref="AU20:AV29">SUM(AA20+Q20+G20+AK20)</f>
        <v>0</v>
      </c>
      <c r="AV20" s="161">
        <f t="shared" si="12"/>
        <v>0</v>
      </c>
      <c r="AW20" s="161">
        <f aca="true" t="shared" si="13" ref="AW20:AW29">SUM(AC20+S20+I20+AM20)</f>
        <v>0</v>
      </c>
      <c r="AX20" s="161">
        <f aca="true" t="shared" si="14" ref="AX20:AX29">SUM(AD20+T20+J20+AN20)</f>
        <v>0</v>
      </c>
      <c r="AZ20" s="10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10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</row>
    <row r="21" spans="1:87" ht="12.75" customHeight="1">
      <c r="A21" s="29" t="s">
        <v>72</v>
      </c>
      <c r="B21" s="36">
        <v>12</v>
      </c>
      <c r="C21" s="7" t="s">
        <v>32</v>
      </c>
      <c r="D21" s="122">
        <f>(1125774*0.2)</f>
        <v>225154.80000000002</v>
      </c>
      <c r="E21" s="122">
        <f t="shared" si="7"/>
        <v>2701857.6</v>
      </c>
      <c r="F21" s="122"/>
      <c r="H21" s="122">
        <f>SUM(E21)</f>
        <v>2701857.6</v>
      </c>
      <c r="I21" s="122"/>
      <c r="J21" s="122"/>
      <c r="K21" s="137"/>
      <c r="L21" s="160">
        <v>12</v>
      </c>
      <c r="M21" s="177" t="s">
        <v>32</v>
      </c>
      <c r="N21" s="122">
        <f>SUM(D21)*1.058</f>
        <v>238213.77840000004</v>
      </c>
      <c r="O21" s="122">
        <f>SUM(N21*L21)</f>
        <v>2858565.3408000004</v>
      </c>
      <c r="P21" s="122"/>
      <c r="R21" s="122">
        <f>SUM(O21)</f>
        <v>2858565.3408000004</v>
      </c>
      <c r="S21" s="122"/>
      <c r="T21" s="122"/>
      <c r="U21" s="137"/>
      <c r="V21" s="160">
        <v>12</v>
      </c>
      <c r="W21" s="178" t="s">
        <v>32</v>
      </c>
      <c r="X21" s="122">
        <f>SUM(N21)*1.058</f>
        <v>252030.17754720006</v>
      </c>
      <c r="Y21" s="122">
        <f>+X21*V21</f>
        <v>3024362.1305664005</v>
      </c>
      <c r="Z21" s="122"/>
      <c r="AB21" s="122">
        <f>SUM(Y21)</f>
        <v>3024362.1305664005</v>
      </c>
      <c r="AC21" s="122"/>
      <c r="AD21" s="122"/>
      <c r="AE21" s="137"/>
      <c r="AF21" s="160">
        <v>6</v>
      </c>
      <c r="AG21" s="179" t="s">
        <v>32</v>
      </c>
      <c r="AH21" s="122">
        <f>SUM(X21)*1.058</f>
        <v>266647.92784493766</v>
      </c>
      <c r="AI21" s="122">
        <f>+AH21*AF21</f>
        <v>1599887.567069626</v>
      </c>
      <c r="AJ21" s="122"/>
      <c r="AL21" s="122">
        <f>SUM(AI21)</f>
        <v>1599887.567069626</v>
      </c>
      <c r="AM21" s="122"/>
      <c r="AN21" s="122"/>
      <c r="AO21" s="137"/>
      <c r="AP21" s="160">
        <f t="shared" si="9"/>
        <v>42</v>
      </c>
      <c r="AQ21" s="122" t="s">
        <v>32</v>
      </c>
      <c r="AR21" s="122"/>
      <c r="AS21" s="161">
        <f t="shared" si="10"/>
        <v>10184672.638436027</v>
      </c>
      <c r="AT21" s="161">
        <f t="shared" si="11"/>
        <v>0</v>
      </c>
      <c r="AU21" s="161">
        <f t="shared" si="12"/>
        <v>0</v>
      </c>
      <c r="AV21" s="161">
        <f>SUM(AB21+R21+H21+AL21)</f>
        <v>10184672.638436027</v>
      </c>
      <c r="AW21" s="161">
        <f t="shared" si="13"/>
        <v>0</v>
      </c>
      <c r="AX21" s="161">
        <f t="shared" si="14"/>
        <v>0</v>
      </c>
      <c r="AZ21" s="10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10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</row>
    <row r="22" spans="1:87" ht="12.75" customHeight="1">
      <c r="A22" s="29" t="s">
        <v>151</v>
      </c>
      <c r="B22" s="36">
        <f>+((50)*(32+32+32))</f>
        <v>4800</v>
      </c>
      <c r="C22" s="7" t="s">
        <v>54</v>
      </c>
      <c r="D22" s="122">
        <v>36000</v>
      </c>
      <c r="E22" s="122">
        <f t="shared" si="7"/>
        <v>172800000</v>
      </c>
      <c r="F22" s="122">
        <f>SUM(E22)</f>
        <v>172800000</v>
      </c>
      <c r="G22" s="122"/>
      <c r="H22" s="122"/>
      <c r="I22" s="122"/>
      <c r="J22" s="122"/>
      <c r="K22" s="137"/>
      <c r="L22" s="160"/>
      <c r="M22" s="177"/>
      <c r="N22" s="122"/>
      <c r="O22" s="122"/>
      <c r="P22" s="122"/>
      <c r="Q22" s="122"/>
      <c r="R22" s="122"/>
      <c r="S22" s="122"/>
      <c r="T22" s="122"/>
      <c r="U22" s="137"/>
      <c r="V22" s="160"/>
      <c r="W22" s="166"/>
      <c r="X22" s="122"/>
      <c r="Y22" s="122"/>
      <c r="Z22" s="122"/>
      <c r="AA22" s="122"/>
      <c r="AB22" s="122"/>
      <c r="AC22" s="122"/>
      <c r="AD22" s="122"/>
      <c r="AE22" s="137"/>
      <c r="AF22" s="160"/>
      <c r="AG22" s="165"/>
      <c r="AH22" s="122"/>
      <c r="AI22" s="122"/>
      <c r="AJ22" s="122"/>
      <c r="AK22" s="122"/>
      <c r="AL22" s="122"/>
      <c r="AM22" s="122"/>
      <c r="AN22" s="122"/>
      <c r="AO22" s="137"/>
      <c r="AP22" s="160">
        <f t="shared" si="9"/>
        <v>4800</v>
      </c>
      <c r="AQ22" s="122" t="s">
        <v>54</v>
      </c>
      <c r="AR22" s="122"/>
      <c r="AS22" s="161">
        <f t="shared" si="10"/>
        <v>172800000</v>
      </c>
      <c r="AT22" s="161">
        <f t="shared" si="11"/>
        <v>172800000</v>
      </c>
      <c r="AU22" s="161">
        <f t="shared" si="12"/>
        <v>0</v>
      </c>
      <c r="AV22" s="161">
        <f t="shared" si="12"/>
        <v>0</v>
      </c>
      <c r="AW22" s="161">
        <f t="shared" si="13"/>
        <v>0</v>
      </c>
      <c r="AX22" s="161">
        <f t="shared" si="14"/>
        <v>0</v>
      </c>
      <c r="AZ22" s="10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10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</row>
    <row r="23" spans="1:87" ht="12.75" customHeight="1">
      <c r="A23" s="29" t="s">
        <v>3</v>
      </c>
      <c r="B23" s="36">
        <f>+'CALCULOS HORAS'!B21</f>
        <v>26600</v>
      </c>
      <c r="C23" s="7" t="s">
        <v>54</v>
      </c>
      <c r="D23" s="122">
        <v>36000</v>
      </c>
      <c r="E23" s="122">
        <f t="shared" si="7"/>
        <v>957600000</v>
      </c>
      <c r="F23" s="122">
        <f>SUM(E23)</f>
        <v>957600000</v>
      </c>
      <c r="G23" s="122"/>
      <c r="H23" s="122"/>
      <c r="I23" s="122"/>
      <c r="J23" s="122"/>
      <c r="K23" s="137"/>
      <c r="L23" s="160">
        <f>+'CALCULOS HORAS'!B22</f>
        <v>26600</v>
      </c>
      <c r="M23" s="177" t="s">
        <v>54</v>
      </c>
      <c r="N23" s="122">
        <f>D23*1.058</f>
        <v>38088</v>
      </c>
      <c r="O23" s="122">
        <f>SUM(N23*L23)</f>
        <v>1013140800</v>
      </c>
      <c r="P23" s="122">
        <f>SUM(O23)</f>
        <v>1013140800</v>
      </c>
      <c r="Q23" s="122"/>
      <c r="R23" s="122"/>
      <c r="S23" s="122"/>
      <c r="T23" s="122"/>
      <c r="U23" s="137"/>
      <c r="V23" s="160">
        <f>+'CALCULOS HORAS'!B23</f>
        <v>26600</v>
      </c>
      <c r="W23" s="178" t="s">
        <v>54</v>
      </c>
      <c r="X23" s="122">
        <f>SUM($N$23)*1.058</f>
        <v>40297.104</v>
      </c>
      <c r="Y23" s="122">
        <f aca="true" t="shared" si="15" ref="Y23:Y28">+X23*V23</f>
        <v>1071902966.4</v>
      </c>
      <c r="Z23" s="122">
        <f>SUM(Y23)</f>
        <v>1071902966.4</v>
      </c>
      <c r="AA23" s="122"/>
      <c r="AB23" s="122"/>
      <c r="AC23" s="122"/>
      <c r="AD23" s="122"/>
      <c r="AE23" s="137"/>
      <c r="AF23" s="160">
        <f>+'CALCULOS HORAS'!B24</f>
        <v>20900</v>
      </c>
      <c r="AG23" s="179" t="s">
        <v>54</v>
      </c>
      <c r="AH23" s="122">
        <f>+X23*1.058</f>
        <v>42634.336032</v>
      </c>
      <c r="AI23" s="122">
        <f>+AH23*AF23</f>
        <v>891057623.0688</v>
      </c>
      <c r="AJ23" s="122">
        <f>SUM(AI23)</f>
        <v>891057623.0688</v>
      </c>
      <c r="AK23" s="122"/>
      <c r="AL23" s="122"/>
      <c r="AM23" s="122"/>
      <c r="AN23" s="122"/>
      <c r="AO23" s="137"/>
      <c r="AP23" s="160">
        <f t="shared" si="9"/>
        <v>100700</v>
      </c>
      <c r="AQ23" s="122" t="s">
        <v>54</v>
      </c>
      <c r="AR23" s="122"/>
      <c r="AS23" s="161">
        <f t="shared" si="10"/>
        <v>3933701389.4688</v>
      </c>
      <c r="AT23" s="161">
        <f t="shared" si="11"/>
        <v>3933701389.4688</v>
      </c>
      <c r="AU23" s="161">
        <f t="shared" si="12"/>
        <v>0</v>
      </c>
      <c r="AV23" s="161">
        <f t="shared" si="12"/>
        <v>0</v>
      </c>
      <c r="AW23" s="161">
        <f t="shared" si="13"/>
        <v>0</v>
      </c>
      <c r="AX23" s="161">
        <f t="shared" si="14"/>
        <v>0</v>
      </c>
      <c r="AZ23" s="10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10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</row>
    <row r="24" spans="1:87" ht="12.75" customHeight="1">
      <c r="A24" s="29" t="s">
        <v>215</v>
      </c>
      <c r="B24" s="36">
        <v>2500</v>
      </c>
      <c r="C24" s="7" t="s">
        <v>54</v>
      </c>
      <c r="D24" s="122">
        <v>36000</v>
      </c>
      <c r="E24" s="122">
        <f t="shared" si="7"/>
        <v>90000000</v>
      </c>
      <c r="F24" s="122">
        <f>SUM(E24)</f>
        <v>90000000</v>
      </c>
      <c r="G24" s="122"/>
      <c r="H24" s="122"/>
      <c r="I24" s="122"/>
      <c r="J24" s="122"/>
      <c r="K24" s="137"/>
      <c r="L24" s="160">
        <v>2500</v>
      </c>
      <c r="M24" s="177"/>
      <c r="N24" s="122">
        <f>D24*1.058</f>
        <v>38088</v>
      </c>
      <c r="O24" s="122">
        <f>SUM(N24*L24)</f>
        <v>95220000</v>
      </c>
      <c r="P24" s="122">
        <f>SUM(O24)</f>
        <v>95220000</v>
      </c>
      <c r="Q24" s="122"/>
      <c r="R24" s="122"/>
      <c r="S24" s="122"/>
      <c r="T24" s="122"/>
      <c r="U24" s="137"/>
      <c r="V24" s="160">
        <v>2500</v>
      </c>
      <c r="W24" s="178"/>
      <c r="X24" s="122">
        <f>SUM($N$23)*1.058</f>
        <v>40297.104</v>
      </c>
      <c r="Y24" s="122">
        <f t="shared" si="15"/>
        <v>100742760</v>
      </c>
      <c r="Z24" s="122">
        <f>SUM(Y24)</f>
        <v>100742760</v>
      </c>
      <c r="AA24" s="122"/>
      <c r="AB24" s="122"/>
      <c r="AC24" s="122"/>
      <c r="AD24" s="122"/>
      <c r="AE24" s="137"/>
      <c r="AF24" s="160">
        <v>2500</v>
      </c>
      <c r="AG24" s="179"/>
      <c r="AH24" s="122">
        <f>+X24*1.058</f>
        <v>42634.336032</v>
      </c>
      <c r="AI24" s="122">
        <f>+AH24*AF24</f>
        <v>106585840.08</v>
      </c>
      <c r="AJ24" s="122">
        <f>SUM(AI24)</f>
        <v>106585840.08</v>
      </c>
      <c r="AK24" s="122"/>
      <c r="AL24" s="122"/>
      <c r="AM24" s="122"/>
      <c r="AN24" s="122"/>
      <c r="AO24" s="137"/>
      <c r="AP24" s="160"/>
      <c r="AQ24" s="122"/>
      <c r="AR24" s="122"/>
      <c r="AS24" s="161"/>
      <c r="AT24" s="161"/>
      <c r="AU24" s="161"/>
      <c r="AV24" s="161"/>
      <c r="AW24" s="161"/>
      <c r="AX24" s="161"/>
      <c r="AZ24" s="10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10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</row>
    <row r="25" spans="1:87" ht="12.75" customHeight="1">
      <c r="A25" s="29" t="s">
        <v>214</v>
      </c>
      <c r="B25" s="36">
        <f>80*42</f>
        <v>3360</v>
      </c>
      <c r="C25" s="7" t="s">
        <v>54</v>
      </c>
      <c r="D25" s="122">
        <v>36000</v>
      </c>
      <c r="E25" s="122">
        <f t="shared" si="7"/>
        <v>120960000</v>
      </c>
      <c r="F25" s="122"/>
      <c r="G25" s="122"/>
      <c r="H25" s="122"/>
      <c r="I25" s="122">
        <f>+E25</f>
        <v>120960000</v>
      </c>
      <c r="J25" s="122"/>
      <c r="K25" s="137"/>
      <c r="L25" s="160">
        <v>3360</v>
      </c>
      <c r="M25" s="177" t="s">
        <v>54</v>
      </c>
      <c r="N25" s="122">
        <f>D25*1.058</f>
        <v>38088</v>
      </c>
      <c r="O25" s="122">
        <f>SUM(N25*L25)</f>
        <v>127975680</v>
      </c>
      <c r="P25" s="122"/>
      <c r="Q25" s="122"/>
      <c r="R25" s="122"/>
      <c r="S25" s="122">
        <f>+O25</f>
        <v>127975680</v>
      </c>
      <c r="T25" s="122"/>
      <c r="U25" s="137"/>
      <c r="V25" s="160"/>
      <c r="W25" s="178" t="s">
        <v>54</v>
      </c>
      <c r="X25" s="122">
        <f>SUM($N$23)*1.058</f>
        <v>40297.104</v>
      </c>
      <c r="Y25" s="122">
        <f t="shared" si="15"/>
        <v>0</v>
      </c>
      <c r="Z25" s="122"/>
      <c r="AA25" s="122"/>
      <c r="AB25" s="122"/>
      <c r="AC25" s="122">
        <f>+Y25</f>
        <v>0</v>
      </c>
      <c r="AD25" s="122"/>
      <c r="AE25" s="137"/>
      <c r="AF25" s="160">
        <f>+AI25/AH26</f>
        <v>0</v>
      </c>
      <c r="AG25" s="179" t="s">
        <v>54</v>
      </c>
      <c r="AH25" s="122">
        <f>+X25*1.058</f>
        <v>42634.336032</v>
      </c>
      <c r="AI25" s="122"/>
      <c r="AJ25" s="122"/>
      <c r="AK25" s="122"/>
      <c r="AL25" s="122"/>
      <c r="AM25" s="122"/>
      <c r="AN25" s="122"/>
      <c r="AO25" s="137"/>
      <c r="AP25" s="160">
        <f>+B25+L25+V25+AF25</f>
        <v>6720</v>
      </c>
      <c r="AQ25" s="177" t="s">
        <v>54</v>
      </c>
      <c r="AR25" s="160"/>
      <c r="AS25" s="161">
        <f>+E25+O25+Y25+AI25</f>
        <v>248935680</v>
      </c>
      <c r="AT25" s="161">
        <f t="shared" si="11"/>
        <v>0</v>
      </c>
      <c r="AU25" s="161">
        <f t="shared" si="12"/>
        <v>0</v>
      </c>
      <c r="AV25" s="161">
        <f t="shared" si="12"/>
        <v>0</v>
      </c>
      <c r="AW25" s="161">
        <f>+AS25</f>
        <v>248935680</v>
      </c>
      <c r="AX25" s="161">
        <f t="shared" si="14"/>
        <v>0</v>
      </c>
      <c r="AZ25" s="10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10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</row>
    <row r="26" spans="1:87" ht="12.75" customHeight="1">
      <c r="A26" s="29" t="s">
        <v>86</v>
      </c>
      <c r="B26" s="36">
        <f>64*50</f>
        <v>3200</v>
      </c>
      <c r="C26" s="7" t="s">
        <v>54</v>
      </c>
      <c r="D26" s="122">
        <v>36000</v>
      </c>
      <c r="E26" s="122">
        <f t="shared" si="7"/>
        <v>115200000</v>
      </c>
      <c r="F26" s="122"/>
      <c r="G26" s="122"/>
      <c r="H26" s="122">
        <f>+E26</f>
        <v>115200000</v>
      </c>
      <c r="I26" s="122"/>
      <c r="J26" s="122"/>
      <c r="K26" s="137"/>
      <c r="L26" s="160">
        <f>SUM('CALCULOS HORAS'!D49+'CALCULOS HORAS'!E49)</f>
        <v>1120</v>
      </c>
      <c r="M26" s="177" t="s">
        <v>54</v>
      </c>
      <c r="N26" s="122">
        <f>D26*1.058</f>
        <v>38088</v>
      </c>
      <c r="O26" s="122">
        <f>SUM(N26*L26)</f>
        <v>42658560</v>
      </c>
      <c r="P26" s="122">
        <f>SUM(O26)</f>
        <v>42658560</v>
      </c>
      <c r="Q26" s="122"/>
      <c r="R26" s="122"/>
      <c r="S26" s="122"/>
      <c r="T26" s="122"/>
      <c r="U26" s="137"/>
      <c r="V26" s="160">
        <f>'CALCULOS HORAS'!F49+'CALCULOS HORAS'!G49</f>
        <v>640</v>
      </c>
      <c r="W26" s="178" t="s">
        <v>54</v>
      </c>
      <c r="X26" s="122">
        <f>SUM($N$23)*1.058</f>
        <v>40297.104</v>
      </c>
      <c r="Y26" s="122">
        <f t="shared" si="15"/>
        <v>25790146.56</v>
      </c>
      <c r="Z26" s="122">
        <f>SUM(Y26)</f>
        <v>25790146.56</v>
      </c>
      <c r="AA26" s="122"/>
      <c r="AB26" s="122"/>
      <c r="AC26" s="122"/>
      <c r="AD26" s="122"/>
      <c r="AE26" s="137"/>
      <c r="AF26" s="160">
        <f>'CALCULOS HORAS'!H49</f>
        <v>480</v>
      </c>
      <c r="AG26" s="179" t="s">
        <v>54</v>
      </c>
      <c r="AH26" s="122">
        <f>SUM(X26)*1.058</f>
        <v>42634.336032</v>
      </c>
      <c r="AI26" s="122">
        <f>+AH26*AF26</f>
        <v>20464481.29536</v>
      </c>
      <c r="AJ26" s="122">
        <f>SUM(AI26)</f>
        <v>20464481.29536</v>
      </c>
      <c r="AK26" s="122"/>
      <c r="AL26" s="122"/>
      <c r="AM26" s="122"/>
      <c r="AN26" s="122"/>
      <c r="AO26" s="137"/>
      <c r="AP26" s="160">
        <f t="shared" si="9"/>
        <v>5440</v>
      </c>
      <c r="AQ26" s="122" t="s">
        <v>54</v>
      </c>
      <c r="AR26" s="122"/>
      <c r="AS26" s="161">
        <f t="shared" si="10"/>
        <v>204113187.85536</v>
      </c>
      <c r="AT26" s="161">
        <f t="shared" si="11"/>
        <v>88913187.85536</v>
      </c>
      <c r="AU26" s="161">
        <f t="shared" si="12"/>
        <v>0</v>
      </c>
      <c r="AV26" s="161">
        <f t="shared" si="12"/>
        <v>115200000</v>
      </c>
      <c r="AW26" s="161">
        <f t="shared" si="13"/>
        <v>0</v>
      </c>
      <c r="AX26" s="161">
        <f t="shared" si="14"/>
        <v>0</v>
      </c>
      <c r="AZ26" s="10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10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</row>
    <row r="27" spans="1:87" ht="12.75" customHeight="1">
      <c r="A27" s="29" t="s">
        <v>4</v>
      </c>
      <c r="B27" s="36"/>
      <c r="C27" s="7"/>
      <c r="D27" s="122"/>
      <c r="E27" s="122"/>
      <c r="F27" s="122"/>
      <c r="G27" s="122"/>
      <c r="H27" s="122"/>
      <c r="I27" s="122"/>
      <c r="J27" s="122"/>
      <c r="K27" s="137"/>
      <c r="L27" s="160"/>
      <c r="M27" s="177"/>
      <c r="N27" s="122"/>
      <c r="O27" s="122"/>
      <c r="P27" s="122"/>
      <c r="Q27" s="122"/>
      <c r="R27" s="122"/>
      <c r="S27" s="122"/>
      <c r="T27" s="122"/>
      <c r="U27" s="137"/>
      <c r="V27" s="160">
        <f>20*50</f>
        <v>1000</v>
      </c>
      <c r="W27" s="178" t="s">
        <v>54</v>
      </c>
      <c r="X27" s="122">
        <f>SUM(X23)</f>
        <v>40297.104</v>
      </c>
      <c r="Y27" s="122">
        <f t="shared" si="15"/>
        <v>40297104</v>
      </c>
      <c r="Z27" s="122">
        <f>SUM(Y27)</f>
        <v>40297104</v>
      </c>
      <c r="AA27" s="122"/>
      <c r="AB27" s="122"/>
      <c r="AC27" s="122"/>
      <c r="AD27" s="122"/>
      <c r="AE27" s="137"/>
      <c r="AF27" s="160"/>
      <c r="AG27" s="179" t="s">
        <v>54</v>
      </c>
      <c r="AH27" s="122">
        <f>SUM(AH23)</f>
        <v>42634.336032</v>
      </c>
      <c r="AI27" s="122">
        <f>+AH27*AF27</f>
        <v>0</v>
      </c>
      <c r="AJ27" s="122">
        <f>SUM(AI27)</f>
        <v>0</v>
      </c>
      <c r="AK27" s="122"/>
      <c r="AL27" s="122"/>
      <c r="AM27" s="122"/>
      <c r="AN27" s="122"/>
      <c r="AO27" s="137"/>
      <c r="AP27" s="160">
        <f t="shared" si="9"/>
        <v>1000</v>
      </c>
      <c r="AQ27" s="122" t="s">
        <v>54</v>
      </c>
      <c r="AR27" s="122"/>
      <c r="AS27" s="161">
        <f t="shared" si="10"/>
        <v>40297104</v>
      </c>
      <c r="AT27" s="161">
        <f t="shared" si="11"/>
        <v>40297104</v>
      </c>
      <c r="AU27" s="161">
        <f t="shared" si="12"/>
        <v>0</v>
      </c>
      <c r="AV27" s="161">
        <f t="shared" si="12"/>
        <v>0</v>
      </c>
      <c r="AW27" s="161">
        <f t="shared" si="13"/>
        <v>0</v>
      </c>
      <c r="AX27" s="161">
        <f t="shared" si="14"/>
        <v>0</v>
      </c>
      <c r="AZ27" s="10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10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</row>
    <row r="28" spans="1:87" ht="12.75" customHeight="1">
      <c r="A28" s="29" t="s">
        <v>5</v>
      </c>
      <c r="B28" s="36"/>
      <c r="C28" s="7"/>
      <c r="D28" s="122"/>
      <c r="E28" s="122"/>
      <c r="F28" s="122"/>
      <c r="G28" s="122"/>
      <c r="H28" s="122"/>
      <c r="I28" s="122"/>
      <c r="J28" s="122"/>
      <c r="K28" s="137"/>
      <c r="L28" s="160">
        <f>50*20</f>
        <v>1000</v>
      </c>
      <c r="M28" s="177" t="s">
        <v>54</v>
      </c>
      <c r="N28" s="122">
        <f>+N26</f>
        <v>38088</v>
      </c>
      <c r="O28" s="122">
        <f>SUM(N28*L28)</f>
        <v>38088000</v>
      </c>
      <c r="P28" s="122"/>
      <c r="Q28" s="122"/>
      <c r="R28" s="122"/>
      <c r="S28" s="122"/>
      <c r="T28" s="122">
        <f>O28</f>
        <v>38088000</v>
      </c>
      <c r="U28" s="137"/>
      <c r="V28" s="160">
        <f>50*20</f>
        <v>1000</v>
      </c>
      <c r="W28" s="178" t="s">
        <v>54</v>
      </c>
      <c r="X28" s="122">
        <f>SUM(X26)</f>
        <v>40297.104</v>
      </c>
      <c r="Y28" s="122">
        <f t="shared" si="15"/>
        <v>40297104</v>
      </c>
      <c r="Z28" s="122"/>
      <c r="AA28" s="122"/>
      <c r="AB28" s="122"/>
      <c r="AC28" s="122"/>
      <c r="AD28" s="122">
        <f>Y28</f>
        <v>40297104</v>
      </c>
      <c r="AE28" s="137"/>
      <c r="AF28" s="160">
        <f>50*10</f>
        <v>500</v>
      </c>
      <c r="AG28" s="179" t="s">
        <v>54</v>
      </c>
      <c r="AH28" s="122">
        <f>SUM(AH26)</f>
        <v>42634.336032</v>
      </c>
      <c r="AI28" s="122">
        <f>+AH28*AF28</f>
        <v>21317168.016</v>
      </c>
      <c r="AJ28" s="122"/>
      <c r="AK28" s="122"/>
      <c r="AL28" s="122"/>
      <c r="AM28" s="122"/>
      <c r="AN28" s="122">
        <f>AI28</f>
        <v>21317168.016</v>
      </c>
      <c r="AO28" s="137"/>
      <c r="AP28" s="160">
        <f t="shared" si="9"/>
        <v>2500</v>
      </c>
      <c r="AQ28" s="122" t="s">
        <v>54</v>
      </c>
      <c r="AR28" s="122"/>
      <c r="AS28" s="161">
        <v>15000</v>
      </c>
      <c r="AT28" s="161">
        <f t="shared" si="11"/>
        <v>0</v>
      </c>
      <c r="AU28" s="161">
        <f t="shared" si="12"/>
        <v>0</v>
      </c>
      <c r="AV28" s="161">
        <f t="shared" si="12"/>
        <v>0</v>
      </c>
      <c r="AW28" s="161">
        <f t="shared" si="13"/>
        <v>0</v>
      </c>
      <c r="AX28" s="161">
        <v>15000</v>
      </c>
      <c r="AZ28" s="10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</row>
    <row r="29" spans="1:87" ht="15.75">
      <c r="A29" s="223" t="s">
        <v>216</v>
      </c>
      <c r="B29" s="36">
        <v>12</v>
      </c>
      <c r="C29" s="7" t="s">
        <v>32</v>
      </c>
      <c r="D29" s="122">
        <v>2500000</v>
      </c>
      <c r="E29" s="122">
        <f>SUM(B29*D29)</f>
        <v>30000000</v>
      </c>
      <c r="F29" s="122"/>
      <c r="G29" s="122"/>
      <c r="H29" s="122"/>
      <c r="I29" s="122">
        <f>+E29</f>
        <v>30000000</v>
      </c>
      <c r="J29" s="122"/>
      <c r="K29" s="137"/>
      <c r="L29" s="160">
        <v>12</v>
      </c>
      <c r="M29" s="122" t="s">
        <v>217</v>
      </c>
      <c r="N29" s="122">
        <f>+D29*1.058</f>
        <v>2645000</v>
      </c>
      <c r="O29" s="122">
        <f>SUM(L29*N29)</f>
        <v>31740000</v>
      </c>
      <c r="P29" s="122"/>
      <c r="Q29" s="122"/>
      <c r="R29" s="122"/>
      <c r="S29" s="122">
        <f>+O29</f>
        <v>31740000</v>
      </c>
      <c r="T29" s="122"/>
      <c r="U29" s="137"/>
      <c r="V29" s="160">
        <v>12</v>
      </c>
      <c r="W29" s="122" t="s">
        <v>217</v>
      </c>
      <c r="X29" s="122">
        <f>N29*1.058</f>
        <v>2798410</v>
      </c>
      <c r="Y29" s="122">
        <f>SUM(V29*X29)</f>
        <v>33580920</v>
      </c>
      <c r="Z29" s="122"/>
      <c r="AA29" s="122"/>
      <c r="AB29" s="122"/>
      <c r="AC29" s="122">
        <f>+Y29</f>
        <v>33580920</v>
      </c>
      <c r="AD29" s="122"/>
      <c r="AE29" s="137"/>
      <c r="AF29" s="160">
        <v>12</v>
      </c>
      <c r="AG29" s="122" t="s">
        <v>217</v>
      </c>
      <c r="AH29" s="122">
        <f>+X29*1.058</f>
        <v>2960717.7800000003</v>
      </c>
      <c r="AI29" s="122">
        <f>SUM(AF29*AH29)</f>
        <v>35528613.36</v>
      </c>
      <c r="AJ29" s="122"/>
      <c r="AK29" s="122"/>
      <c r="AL29" s="122"/>
      <c r="AM29" s="122">
        <f>+AI29</f>
        <v>35528613.36</v>
      </c>
      <c r="AN29" s="122"/>
      <c r="AO29" s="137"/>
      <c r="AP29" s="160">
        <v>12</v>
      </c>
      <c r="AQ29" s="122" t="s">
        <v>217</v>
      </c>
      <c r="AR29" s="122"/>
      <c r="AS29" s="161">
        <f t="shared" si="10"/>
        <v>130849533.36</v>
      </c>
      <c r="AT29" s="161">
        <f t="shared" si="11"/>
        <v>0</v>
      </c>
      <c r="AU29" s="161">
        <f t="shared" si="12"/>
        <v>0</v>
      </c>
      <c r="AV29" s="161">
        <f t="shared" si="12"/>
        <v>0</v>
      </c>
      <c r="AW29" s="161">
        <f t="shared" si="13"/>
        <v>130849533.36</v>
      </c>
      <c r="AX29" s="161">
        <f t="shared" si="14"/>
        <v>0</v>
      </c>
      <c r="AZ29" s="10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10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</row>
    <row r="30" spans="1:87" s="1" customFormat="1" ht="12.75" customHeight="1">
      <c r="A30" s="21" t="s">
        <v>34</v>
      </c>
      <c r="B30" s="31"/>
      <c r="C30" s="31"/>
      <c r="D30" s="180"/>
      <c r="E30" s="163">
        <f aca="true" t="shared" si="16" ref="E30:J30">SUM(E19:E29)</f>
        <v>1513261857.6</v>
      </c>
      <c r="F30" s="163">
        <f t="shared" si="16"/>
        <v>1244400000</v>
      </c>
      <c r="G30" s="163">
        <f t="shared" si="16"/>
        <v>0</v>
      </c>
      <c r="H30" s="163">
        <f t="shared" si="16"/>
        <v>117901857.6</v>
      </c>
      <c r="I30" s="163">
        <f t="shared" si="16"/>
        <v>150960000</v>
      </c>
      <c r="J30" s="163">
        <f t="shared" si="16"/>
        <v>0</v>
      </c>
      <c r="K30" s="137"/>
      <c r="L30" s="163"/>
      <c r="M30" s="163"/>
      <c r="N30" s="163"/>
      <c r="O30" s="163">
        <f aca="true" t="shared" si="17" ref="O30:T30">SUM(O19:O29)</f>
        <v>1358029605.3408</v>
      </c>
      <c r="P30" s="163">
        <f t="shared" si="17"/>
        <v>1157367360</v>
      </c>
      <c r="Q30" s="163">
        <f t="shared" si="17"/>
        <v>0</v>
      </c>
      <c r="R30" s="163">
        <f t="shared" si="17"/>
        <v>2858565.3408000004</v>
      </c>
      <c r="S30" s="163">
        <f t="shared" si="17"/>
        <v>159715680</v>
      </c>
      <c r="T30" s="163">
        <f t="shared" si="17"/>
        <v>38088000</v>
      </c>
      <c r="U30" s="137"/>
      <c r="V30" s="181">
        <f>+SUM(AD19:AD29)</f>
        <v>40297104</v>
      </c>
      <c r="W30" s="180"/>
      <c r="X30" s="180"/>
      <c r="Y30" s="163">
        <f aca="true" t="shared" si="18" ref="Y30:AD30">SUM(Y19:Y29)</f>
        <v>1322351547.0905664</v>
      </c>
      <c r="Z30" s="163">
        <f t="shared" si="18"/>
        <v>1245449160.96</v>
      </c>
      <c r="AA30" s="163">
        <f t="shared" si="18"/>
        <v>0</v>
      </c>
      <c r="AB30" s="163">
        <f t="shared" si="18"/>
        <v>3024362.1305664005</v>
      </c>
      <c r="AC30" s="163">
        <f t="shared" si="18"/>
        <v>33580920</v>
      </c>
      <c r="AD30" s="163">
        <f t="shared" si="18"/>
        <v>40297104</v>
      </c>
      <c r="AE30" s="137"/>
      <c r="AF30" s="181"/>
      <c r="AG30" s="180"/>
      <c r="AH30" s="180"/>
      <c r="AI30" s="163">
        <f>SUM(AI18:AI29)</f>
        <v>1083659336.0592296</v>
      </c>
      <c r="AJ30" s="163">
        <f>SUM(AJ19:AJ29)</f>
        <v>1025213667.11616</v>
      </c>
      <c r="AK30" s="163">
        <f>SUM(AK20:AK29)</f>
        <v>0</v>
      </c>
      <c r="AL30" s="163">
        <f>SUM(AL20:AL29)</f>
        <v>1599887.567069626</v>
      </c>
      <c r="AM30" s="163">
        <f>SUM(AM20:AM29)</f>
        <v>35528613.36</v>
      </c>
      <c r="AN30" s="163">
        <f>SUM(AN20:AN29)</f>
        <v>21317168.016</v>
      </c>
      <c r="AO30" s="137"/>
      <c r="AP30" s="181"/>
      <c r="AQ30" s="180"/>
      <c r="AR30" s="180"/>
      <c r="AS30" s="164">
        <f aca="true" t="shared" si="19" ref="AS30:AX30">SUM(AS19:AS29)</f>
        <v>4785066473.994596</v>
      </c>
      <c r="AT30" s="163">
        <f t="shared" si="19"/>
        <v>4279881587.99616</v>
      </c>
      <c r="AU30" s="163">
        <f t="shared" si="19"/>
        <v>0</v>
      </c>
      <c r="AV30" s="163">
        <f t="shared" si="19"/>
        <v>125384672.63843602</v>
      </c>
      <c r="AW30" s="163">
        <f t="shared" si="19"/>
        <v>379785213.36</v>
      </c>
      <c r="AX30" s="163">
        <f t="shared" si="19"/>
        <v>15000</v>
      </c>
      <c r="AY30" s="126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</row>
    <row r="31" spans="1:87" s="1" customFormat="1" ht="4.5" customHeight="1">
      <c r="A31" s="15"/>
      <c r="B31" s="34"/>
      <c r="C31" s="34"/>
      <c r="D31" s="151"/>
      <c r="E31" s="151"/>
      <c r="F31" s="152"/>
      <c r="G31" s="152"/>
      <c r="H31" s="152"/>
      <c r="I31" s="152"/>
      <c r="J31" s="152"/>
      <c r="K31" s="137"/>
      <c r="L31" s="182"/>
      <c r="M31" s="182"/>
      <c r="N31" s="182"/>
      <c r="O31" s="182"/>
      <c r="P31" s="182"/>
      <c r="Q31" s="182"/>
      <c r="R31" s="182"/>
      <c r="S31" s="182"/>
      <c r="T31" s="183"/>
      <c r="U31" s="137"/>
      <c r="V31" s="182"/>
      <c r="W31" s="182"/>
      <c r="X31" s="182"/>
      <c r="Y31" s="182"/>
      <c r="Z31" s="182"/>
      <c r="AA31" s="182"/>
      <c r="AB31" s="182"/>
      <c r="AC31" s="182"/>
      <c r="AD31" s="183"/>
      <c r="AE31" s="137"/>
      <c r="AF31" s="182"/>
      <c r="AG31" s="182"/>
      <c r="AH31" s="182"/>
      <c r="AI31" s="182"/>
      <c r="AJ31" s="182"/>
      <c r="AK31" s="182"/>
      <c r="AL31" s="182"/>
      <c r="AM31" s="182"/>
      <c r="AN31" s="183"/>
      <c r="AO31" s="137"/>
      <c r="AP31" s="125"/>
      <c r="AQ31" s="125"/>
      <c r="AR31" s="123"/>
      <c r="AS31" s="123"/>
      <c r="AT31" s="169"/>
      <c r="AU31" s="170"/>
      <c r="AV31" s="170"/>
      <c r="AW31" s="170"/>
      <c r="AX31" s="171"/>
      <c r="AY31" s="126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</row>
    <row r="32" spans="1:87" ht="15.75">
      <c r="A32" s="35" t="s">
        <v>31</v>
      </c>
      <c r="B32" s="423"/>
      <c r="C32" s="424"/>
      <c r="D32" s="424"/>
      <c r="E32" s="424"/>
      <c r="F32" s="424"/>
      <c r="G32" s="424"/>
      <c r="H32" s="424"/>
      <c r="I32" s="424"/>
      <c r="J32" s="425"/>
      <c r="K32" s="137"/>
      <c r="L32" s="389"/>
      <c r="M32" s="390"/>
      <c r="N32" s="390"/>
      <c r="O32" s="390"/>
      <c r="P32" s="390"/>
      <c r="Q32" s="390"/>
      <c r="R32" s="390"/>
      <c r="S32" s="390"/>
      <c r="T32" s="391"/>
      <c r="U32" s="137"/>
      <c r="V32" s="389"/>
      <c r="W32" s="390"/>
      <c r="X32" s="390"/>
      <c r="Y32" s="390"/>
      <c r="Z32" s="390"/>
      <c r="AA32" s="390"/>
      <c r="AB32" s="390"/>
      <c r="AC32" s="390"/>
      <c r="AD32" s="391"/>
      <c r="AE32" s="137"/>
      <c r="AF32" s="172"/>
      <c r="AG32" s="173"/>
      <c r="AH32" s="173"/>
      <c r="AI32" s="173"/>
      <c r="AJ32" s="173"/>
      <c r="AK32" s="173"/>
      <c r="AL32" s="173"/>
      <c r="AM32" s="173"/>
      <c r="AN32" s="173"/>
      <c r="AO32" s="137"/>
      <c r="AP32" s="184"/>
      <c r="AQ32" s="184"/>
      <c r="AR32" s="184"/>
      <c r="AS32" s="184"/>
      <c r="AT32" s="437"/>
      <c r="AU32" s="438"/>
      <c r="AV32" s="438"/>
      <c r="AW32" s="438"/>
      <c r="AX32" s="439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</row>
    <row r="33" spans="1:87" ht="12.75" customHeight="1">
      <c r="A33" s="29" t="s">
        <v>92</v>
      </c>
      <c r="B33" s="36">
        <v>10</v>
      </c>
      <c r="C33" s="7" t="s">
        <v>87</v>
      </c>
      <c r="D33" s="122">
        <f>1950000</f>
        <v>1950000</v>
      </c>
      <c r="E33" s="122">
        <f>SUM(D33*B33)</f>
        <v>19500000</v>
      </c>
      <c r="F33" s="122"/>
      <c r="G33" s="122"/>
      <c r="H33" s="122">
        <f>+E33</f>
        <v>19500000</v>
      </c>
      <c r="I33" s="122"/>
      <c r="J33" s="122"/>
      <c r="K33" s="137"/>
      <c r="L33" s="36"/>
      <c r="M33" s="7"/>
      <c r="N33" s="122"/>
      <c r="O33" s="122"/>
      <c r="P33" s="122"/>
      <c r="Q33" s="122"/>
      <c r="R33" s="122"/>
      <c r="S33" s="122"/>
      <c r="T33" s="185"/>
      <c r="U33" s="137"/>
      <c r="V33" s="36"/>
      <c r="W33" s="7"/>
      <c r="X33" s="122"/>
      <c r="Y33" s="122"/>
      <c r="Z33" s="122"/>
      <c r="AA33" s="122"/>
      <c r="AB33" s="122"/>
      <c r="AC33" s="122"/>
      <c r="AD33" s="185"/>
      <c r="AE33" s="137"/>
      <c r="AF33" s="36"/>
      <c r="AG33" s="7"/>
      <c r="AH33" s="122"/>
      <c r="AI33" s="122"/>
      <c r="AJ33" s="122"/>
      <c r="AK33" s="122"/>
      <c r="AL33" s="122"/>
      <c r="AM33" s="122"/>
      <c r="AN33" s="185"/>
      <c r="AO33" s="137"/>
      <c r="AP33" s="36">
        <v>10</v>
      </c>
      <c r="AQ33" s="122" t="s">
        <v>87</v>
      </c>
      <c r="AR33" s="122"/>
      <c r="AS33" s="161">
        <f aca="true" t="shared" si="20" ref="AS33:AX33">SUM(Y33+O33+E33+AI33)</f>
        <v>19500000</v>
      </c>
      <c r="AT33" s="161">
        <f t="shared" si="20"/>
        <v>0</v>
      </c>
      <c r="AU33" s="161">
        <f t="shared" si="20"/>
        <v>0</v>
      </c>
      <c r="AV33" s="161">
        <f t="shared" si="20"/>
        <v>19500000</v>
      </c>
      <c r="AW33" s="161">
        <f t="shared" si="20"/>
        <v>0</v>
      </c>
      <c r="AX33" s="161">
        <f t="shared" si="20"/>
        <v>0</v>
      </c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</row>
    <row r="34" spans="1:87" ht="12.75" customHeight="1">
      <c r="A34" s="29" t="s">
        <v>89</v>
      </c>
      <c r="B34" s="36">
        <v>3</v>
      </c>
      <c r="C34" s="7" t="s">
        <v>87</v>
      </c>
      <c r="D34" s="122">
        <v>500000</v>
      </c>
      <c r="E34" s="122">
        <f>SUM(D34*B34)</f>
        <v>1500000</v>
      </c>
      <c r="F34" s="122"/>
      <c r="G34" s="122"/>
      <c r="H34" s="122">
        <f>+E34</f>
        <v>1500000</v>
      </c>
      <c r="I34" s="122"/>
      <c r="J34" s="122"/>
      <c r="K34" s="137"/>
      <c r="L34" s="36"/>
      <c r="M34" s="7"/>
      <c r="N34" s="122"/>
      <c r="O34" s="122"/>
      <c r="P34" s="122"/>
      <c r="Q34" s="122"/>
      <c r="R34" s="122"/>
      <c r="S34" s="122"/>
      <c r="T34" s="185"/>
      <c r="U34" s="137"/>
      <c r="V34" s="36"/>
      <c r="W34" s="7"/>
      <c r="X34" s="122"/>
      <c r="Y34" s="122"/>
      <c r="Z34" s="122"/>
      <c r="AA34" s="122"/>
      <c r="AB34" s="122"/>
      <c r="AC34" s="122"/>
      <c r="AD34" s="185"/>
      <c r="AE34" s="137"/>
      <c r="AF34" s="36"/>
      <c r="AG34" s="7"/>
      <c r="AH34" s="122"/>
      <c r="AI34" s="122"/>
      <c r="AJ34" s="122"/>
      <c r="AK34" s="122"/>
      <c r="AL34" s="122"/>
      <c r="AM34" s="122"/>
      <c r="AN34" s="185"/>
      <c r="AO34" s="137"/>
      <c r="AP34" s="36">
        <v>3</v>
      </c>
      <c r="AQ34" s="122" t="s">
        <v>87</v>
      </c>
      <c r="AR34" s="122"/>
      <c r="AS34" s="161">
        <f aca="true" t="shared" si="21" ref="AS34:AS43">SUM(Y34+O34+E34+AI34)</f>
        <v>1500000</v>
      </c>
      <c r="AT34" s="161">
        <f aca="true" t="shared" si="22" ref="AT34:AT43">SUM(Z34+P34+F34+AJ34)</f>
        <v>0</v>
      </c>
      <c r="AU34" s="161">
        <f aca="true" t="shared" si="23" ref="AU34:AU43">SUM(AA34+Q34+G34+AK34)</f>
        <v>0</v>
      </c>
      <c r="AV34" s="161">
        <f>SUM(AB34+R34+H34+AL34)</f>
        <v>1500000</v>
      </c>
      <c r="AW34" s="161">
        <f aca="true" t="shared" si="24" ref="AW34:AW43">SUM(AC34+S34+I34+AM34)</f>
        <v>0</v>
      </c>
      <c r="AX34" s="161">
        <f aca="true" t="shared" si="25" ref="AX34:AX43">SUM(AD34+T34+J34+AN34)</f>
        <v>0</v>
      </c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</row>
    <row r="35" spans="1:87" ht="33.75" customHeight="1">
      <c r="A35" s="226" t="s">
        <v>218</v>
      </c>
      <c r="B35" s="36"/>
      <c r="C35" s="7" t="s">
        <v>26</v>
      </c>
      <c r="D35" s="122"/>
      <c r="E35" s="122">
        <v>400000000</v>
      </c>
      <c r="F35" s="122">
        <f>+E35</f>
        <v>400000000</v>
      </c>
      <c r="G35" s="122"/>
      <c r="H35" s="122"/>
      <c r="I35" s="122"/>
      <c r="J35" s="122"/>
      <c r="K35" s="137"/>
      <c r="L35" s="36"/>
      <c r="M35" s="7"/>
      <c r="N35" s="122"/>
      <c r="O35" s="122"/>
      <c r="P35" s="122"/>
      <c r="Q35" s="122"/>
      <c r="R35" s="122"/>
      <c r="S35" s="122"/>
      <c r="T35" s="185"/>
      <c r="U35" s="137"/>
      <c r="V35" s="36"/>
      <c r="W35" s="7"/>
      <c r="X35" s="122"/>
      <c r="Y35" s="122"/>
      <c r="Z35" s="122"/>
      <c r="AA35" s="122"/>
      <c r="AB35" s="122"/>
      <c r="AC35" s="122"/>
      <c r="AD35" s="185"/>
      <c r="AE35" s="137"/>
      <c r="AF35" s="36"/>
      <c r="AG35" s="7"/>
      <c r="AH35" s="122"/>
      <c r="AI35" s="122"/>
      <c r="AJ35" s="122"/>
      <c r="AK35" s="122"/>
      <c r="AL35" s="122"/>
      <c r="AM35" s="122"/>
      <c r="AN35" s="185"/>
      <c r="AO35" s="137"/>
      <c r="AP35" s="36"/>
      <c r="AQ35" s="122" t="s">
        <v>26</v>
      </c>
      <c r="AR35" s="186"/>
      <c r="AS35" s="161">
        <f t="shared" si="21"/>
        <v>400000000</v>
      </c>
      <c r="AT35" s="161">
        <f t="shared" si="22"/>
        <v>400000000</v>
      </c>
      <c r="AU35" s="161">
        <f t="shared" si="23"/>
        <v>0</v>
      </c>
      <c r="AV35" s="161">
        <f>SUM(AB35+R35+H35+AL35)</f>
        <v>0</v>
      </c>
      <c r="AW35" s="161">
        <f t="shared" si="24"/>
        <v>0</v>
      </c>
      <c r="AX35" s="161">
        <f t="shared" si="25"/>
        <v>0</v>
      </c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</row>
    <row r="36" spans="1:87" ht="12.75" customHeight="1">
      <c r="A36" s="29" t="s">
        <v>219</v>
      </c>
      <c r="B36" s="36">
        <v>10</v>
      </c>
      <c r="C36" s="7" t="s">
        <v>87</v>
      </c>
      <c r="D36" s="122">
        <f>400000</f>
        <v>400000</v>
      </c>
      <c r="E36" s="122">
        <f>+D36*B36</f>
        <v>4000000</v>
      </c>
      <c r="F36" s="122"/>
      <c r="G36" s="122"/>
      <c r="H36" s="122">
        <f>E36</f>
        <v>4000000</v>
      </c>
      <c r="I36" s="122"/>
      <c r="J36" s="122"/>
      <c r="K36" s="137"/>
      <c r="L36" s="36"/>
      <c r="M36" s="7"/>
      <c r="N36" s="122"/>
      <c r="O36" s="122"/>
      <c r="P36" s="122"/>
      <c r="Q36" s="122"/>
      <c r="R36" s="122"/>
      <c r="S36" s="122"/>
      <c r="T36" s="185"/>
      <c r="U36" s="137"/>
      <c r="V36" s="36"/>
      <c r="W36" s="7"/>
      <c r="X36" s="122"/>
      <c r="Y36" s="122"/>
      <c r="Z36" s="122"/>
      <c r="AA36" s="122"/>
      <c r="AB36" s="122"/>
      <c r="AC36" s="122"/>
      <c r="AD36" s="185"/>
      <c r="AE36" s="137"/>
      <c r="AF36" s="36"/>
      <c r="AG36" s="7"/>
      <c r="AH36" s="122"/>
      <c r="AI36" s="122"/>
      <c r="AJ36" s="122"/>
      <c r="AK36" s="122"/>
      <c r="AL36" s="122"/>
      <c r="AM36" s="122"/>
      <c r="AN36" s="185"/>
      <c r="AO36" s="137"/>
      <c r="AP36" s="36">
        <v>10</v>
      </c>
      <c r="AQ36" s="122" t="s">
        <v>87</v>
      </c>
      <c r="AR36" s="186"/>
      <c r="AS36" s="161">
        <f t="shared" si="21"/>
        <v>4000000</v>
      </c>
      <c r="AT36" s="161">
        <f t="shared" si="22"/>
        <v>0</v>
      </c>
      <c r="AU36" s="161">
        <f t="shared" si="23"/>
        <v>0</v>
      </c>
      <c r="AV36" s="161">
        <f>AS36</f>
        <v>4000000</v>
      </c>
      <c r="AW36" s="161">
        <f t="shared" si="24"/>
        <v>0</v>
      </c>
      <c r="AX36" s="161">
        <f t="shared" si="25"/>
        <v>0</v>
      </c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</row>
    <row r="37" spans="1:87" ht="12.75" customHeight="1">
      <c r="A37" s="29" t="s">
        <v>220</v>
      </c>
      <c r="B37" s="36">
        <v>7</v>
      </c>
      <c r="C37" s="7" t="s">
        <v>87</v>
      </c>
      <c r="D37" s="122">
        <v>900000</v>
      </c>
      <c r="E37" s="122">
        <f>+D37*B37</f>
        <v>6300000</v>
      </c>
      <c r="G37" s="122"/>
      <c r="H37" s="122">
        <f>+E37</f>
        <v>6300000</v>
      </c>
      <c r="I37" s="122"/>
      <c r="J37" s="122"/>
      <c r="K37" s="137"/>
      <c r="L37" s="36"/>
      <c r="M37" s="7"/>
      <c r="N37" s="122"/>
      <c r="O37" s="122"/>
      <c r="P37" s="122"/>
      <c r="Q37" s="122"/>
      <c r="R37" s="122"/>
      <c r="S37" s="122"/>
      <c r="T37" s="185"/>
      <c r="U37" s="137"/>
      <c r="V37" s="36"/>
      <c r="W37" s="7"/>
      <c r="X37" s="122"/>
      <c r="Y37" s="122"/>
      <c r="Z37" s="122"/>
      <c r="AA37" s="122"/>
      <c r="AB37" s="122"/>
      <c r="AC37" s="122"/>
      <c r="AD37" s="185"/>
      <c r="AE37" s="137"/>
      <c r="AF37" s="36"/>
      <c r="AG37" s="7"/>
      <c r="AH37" s="122"/>
      <c r="AI37" s="122"/>
      <c r="AJ37" s="122"/>
      <c r="AK37" s="122"/>
      <c r="AL37" s="122"/>
      <c r="AM37" s="122"/>
      <c r="AN37" s="185"/>
      <c r="AO37" s="137"/>
      <c r="AP37" s="36">
        <v>7</v>
      </c>
      <c r="AQ37" s="122" t="s">
        <v>87</v>
      </c>
      <c r="AR37" s="166"/>
      <c r="AS37" s="161">
        <f t="shared" si="21"/>
        <v>6300000</v>
      </c>
      <c r="AT37" s="161">
        <f>SUM(Z37+P37+H37+AJ37)</f>
        <v>6300000</v>
      </c>
      <c r="AU37" s="161">
        <f t="shared" si="23"/>
        <v>0</v>
      </c>
      <c r="AV37" s="161">
        <f aca="true" t="shared" si="26" ref="AV37:AV43">AS37</f>
        <v>6300000</v>
      </c>
      <c r="AW37" s="161">
        <f t="shared" si="24"/>
        <v>0</v>
      </c>
      <c r="AX37" s="161">
        <f t="shared" si="25"/>
        <v>0</v>
      </c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</row>
    <row r="38" spans="1:87" ht="12.75" customHeight="1">
      <c r="A38" s="29" t="s">
        <v>6</v>
      </c>
      <c r="B38" s="36">
        <v>8</v>
      </c>
      <c r="C38" s="7" t="s">
        <v>87</v>
      </c>
      <c r="D38" s="122">
        <f>250000</f>
        <v>250000</v>
      </c>
      <c r="E38" s="122">
        <f aca="true" t="shared" si="27" ref="E38:E43">+B38*D38</f>
        <v>2000000</v>
      </c>
      <c r="F38" s="122"/>
      <c r="G38" s="122"/>
      <c r="H38" s="122">
        <f aca="true" t="shared" si="28" ref="H38:H43">E38</f>
        <v>2000000</v>
      </c>
      <c r="I38" s="122"/>
      <c r="J38" s="122"/>
      <c r="K38" s="137"/>
      <c r="L38" s="36"/>
      <c r="M38" s="7"/>
      <c r="N38" s="122"/>
      <c r="O38" s="122"/>
      <c r="P38" s="122"/>
      <c r="Q38" s="122"/>
      <c r="R38" s="122"/>
      <c r="S38" s="122"/>
      <c r="T38" s="185"/>
      <c r="U38" s="137"/>
      <c r="V38" s="36"/>
      <c r="W38" s="7"/>
      <c r="X38" s="122"/>
      <c r="Y38" s="122"/>
      <c r="Z38" s="122"/>
      <c r="AA38" s="122"/>
      <c r="AB38" s="122"/>
      <c r="AC38" s="122"/>
      <c r="AD38" s="185"/>
      <c r="AE38" s="137"/>
      <c r="AF38" s="36"/>
      <c r="AG38" s="7"/>
      <c r="AH38" s="122"/>
      <c r="AI38" s="122"/>
      <c r="AJ38" s="122"/>
      <c r="AK38" s="122"/>
      <c r="AL38" s="122"/>
      <c r="AM38" s="122"/>
      <c r="AN38" s="185"/>
      <c r="AO38" s="137"/>
      <c r="AP38" s="36">
        <v>8</v>
      </c>
      <c r="AQ38" s="122" t="s">
        <v>87</v>
      </c>
      <c r="AR38" s="122"/>
      <c r="AS38" s="161">
        <f t="shared" si="21"/>
        <v>2000000</v>
      </c>
      <c r="AT38" s="161">
        <f t="shared" si="22"/>
        <v>0</v>
      </c>
      <c r="AU38" s="161">
        <f t="shared" si="23"/>
        <v>0</v>
      </c>
      <c r="AV38" s="161">
        <f t="shared" si="26"/>
        <v>2000000</v>
      </c>
      <c r="AW38" s="161">
        <f t="shared" si="24"/>
        <v>0</v>
      </c>
      <c r="AX38" s="161">
        <f t="shared" si="25"/>
        <v>0</v>
      </c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</row>
    <row r="39" spans="1:87" s="16" customFormat="1" ht="15.75">
      <c r="A39" s="29" t="s">
        <v>7</v>
      </c>
      <c r="B39" s="36">
        <v>21</v>
      </c>
      <c r="C39" s="50" t="s">
        <v>87</v>
      </c>
      <c r="D39" s="122">
        <f>150000</f>
        <v>150000</v>
      </c>
      <c r="E39" s="122">
        <f t="shared" si="27"/>
        <v>3150000</v>
      </c>
      <c r="F39" s="122"/>
      <c r="G39" s="122"/>
      <c r="H39" s="122">
        <f t="shared" si="28"/>
        <v>3150000</v>
      </c>
      <c r="I39" s="122"/>
      <c r="J39" s="122"/>
      <c r="K39" s="137"/>
      <c r="L39" s="36"/>
      <c r="M39" s="50"/>
      <c r="N39" s="122"/>
      <c r="O39" s="122"/>
      <c r="P39" s="122"/>
      <c r="Q39" s="122"/>
      <c r="R39" s="122"/>
      <c r="S39" s="186"/>
      <c r="T39" s="188"/>
      <c r="U39" s="137"/>
      <c r="V39" s="36"/>
      <c r="W39" s="50"/>
      <c r="X39" s="122"/>
      <c r="Y39" s="122"/>
      <c r="Z39" s="122"/>
      <c r="AA39" s="122"/>
      <c r="AB39" s="122"/>
      <c r="AC39" s="186"/>
      <c r="AD39" s="188"/>
      <c r="AE39" s="137"/>
      <c r="AF39" s="36"/>
      <c r="AG39" s="50"/>
      <c r="AH39" s="122"/>
      <c r="AI39" s="122"/>
      <c r="AJ39" s="122"/>
      <c r="AK39" s="122"/>
      <c r="AL39" s="122"/>
      <c r="AM39" s="186"/>
      <c r="AN39" s="188"/>
      <c r="AO39" s="137"/>
      <c r="AP39" s="36">
        <v>21</v>
      </c>
      <c r="AQ39" s="187" t="s">
        <v>87</v>
      </c>
      <c r="AR39" s="186"/>
      <c r="AS39" s="161">
        <f t="shared" si="21"/>
        <v>3150000</v>
      </c>
      <c r="AT39" s="161">
        <f t="shared" si="22"/>
        <v>0</v>
      </c>
      <c r="AU39" s="161">
        <f t="shared" si="23"/>
        <v>0</v>
      </c>
      <c r="AV39" s="161">
        <f t="shared" si="26"/>
        <v>3150000</v>
      </c>
      <c r="AW39" s="161">
        <f t="shared" si="24"/>
        <v>0</v>
      </c>
      <c r="AX39" s="161">
        <f t="shared" si="25"/>
        <v>0</v>
      </c>
      <c r="AY39" s="18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</row>
    <row r="40" spans="1:87" ht="13.5" customHeight="1">
      <c r="A40" s="29" t="s">
        <v>90</v>
      </c>
      <c r="B40" s="36">
        <v>4</v>
      </c>
      <c r="C40" s="7" t="s">
        <v>87</v>
      </c>
      <c r="D40" s="122">
        <f>400000</f>
        <v>400000</v>
      </c>
      <c r="E40" s="122">
        <f t="shared" si="27"/>
        <v>1600000</v>
      </c>
      <c r="F40" s="122"/>
      <c r="G40" s="122"/>
      <c r="H40" s="122">
        <f t="shared" si="28"/>
        <v>1600000</v>
      </c>
      <c r="I40" s="122"/>
      <c r="J40" s="122"/>
      <c r="K40" s="137"/>
      <c r="L40" s="36"/>
      <c r="M40" s="7"/>
      <c r="N40" s="122"/>
      <c r="O40" s="122"/>
      <c r="P40" s="122"/>
      <c r="Q40" s="122"/>
      <c r="R40" s="122"/>
      <c r="S40" s="122"/>
      <c r="T40" s="185"/>
      <c r="U40" s="137"/>
      <c r="V40" s="36"/>
      <c r="W40" s="7"/>
      <c r="X40" s="122"/>
      <c r="Y40" s="122"/>
      <c r="Z40" s="122"/>
      <c r="AA40" s="122"/>
      <c r="AB40" s="122"/>
      <c r="AC40" s="122"/>
      <c r="AD40" s="185"/>
      <c r="AE40" s="137"/>
      <c r="AF40" s="36"/>
      <c r="AG40" s="7"/>
      <c r="AH40" s="122"/>
      <c r="AI40" s="122"/>
      <c r="AJ40" s="122"/>
      <c r="AK40" s="122"/>
      <c r="AL40" s="122"/>
      <c r="AM40" s="122"/>
      <c r="AN40" s="185"/>
      <c r="AO40" s="137"/>
      <c r="AP40" s="36">
        <v>4</v>
      </c>
      <c r="AQ40" s="122" t="s">
        <v>87</v>
      </c>
      <c r="AR40" s="166"/>
      <c r="AS40" s="161">
        <f t="shared" si="21"/>
        <v>1600000</v>
      </c>
      <c r="AT40" s="161">
        <f t="shared" si="22"/>
        <v>0</v>
      </c>
      <c r="AU40" s="161">
        <f t="shared" si="23"/>
        <v>0</v>
      </c>
      <c r="AV40" s="161">
        <f t="shared" si="26"/>
        <v>1600000</v>
      </c>
      <c r="AW40" s="161">
        <f t="shared" si="24"/>
        <v>0</v>
      </c>
      <c r="AX40" s="161">
        <f t="shared" si="25"/>
        <v>0</v>
      </c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</row>
    <row r="41" spans="1:87" ht="12.75" customHeight="1">
      <c r="A41" s="29" t="s">
        <v>10</v>
      </c>
      <c r="B41" s="36">
        <v>3</v>
      </c>
      <c r="C41" s="7" t="s">
        <v>87</v>
      </c>
      <c r="D41" s="122">
        <f>500000</f>
        <v>500000</v>
      </c>
      <c r="E41" s="122">
        <f t="shared" si="27"/>
        <v>1500000</v>
      </c>
      <c r="F41" s="122"/>
      <c r="G41" s="122"/>
      <c r="H41" s="122">
        <f t="shared" si="28"/>
        <v>1500000</v>
      </c>
      <c r="I41" s="122"/>
      <c r="J41" s="122"/>
      <c r="K41" s="137"/>
      <c r="L41" s="36"/>
      <c r="M41" s="7"/>
      <c r="N41" s="122"/>
      <c r="O41" s="122"/>
      <c r="P41" s="122"/>
      <c r="Q41" s="122"/>
      <c r="R41" s="122"/>
      <c r="S41" s="122"/>
      <c r="T41" s="185"/>
      <c r="U41" s="137"/>
      <c r="V41" s="36"/>
      <c r="W41" s="7"/>
      <c r="X41" s="122"/>
      <c r="Y41" s="122"/>
      <c r="Z41" s="122"/>
      <c r="AA41" s="122"/>
      <c r="AB41" s="122"/>
      <c r="AC41" s="122"/>
      <c r="AD41" s="185"/>
      <c r="AE41" s="137"/>
      <c r="AF41" s="36"/>
      <c r="AG41" s="7"/>
      <c r="AH41" s="122"/>
      <c r="AI41" s="122"/>
      <c r="AJ41" s="122"/>
      <c r="AK41" s="122"/>
      <c r="AL41" s="122"/>
      <c r="AM41" s="122"/>
      <c r="AN41" s="185"/>
      <c r="AO41" s="137"/>
      <c r="AP41" s="36">
        <v>3</v>
      </c>
      <c r="AQ41" s="122" t="s">
        <v>87</v>
      </c>
      <c r="AR41" s="122"/>
      <c r="AS41" s="161">
        <f t="shared" si="21"/>
        <v>1500000</v>
      </c>
      <c r="AT41" s="161">
        <f t="shared" si="22"/>
        <v>0</v>
      </c>
      <c r="AU41" s="161">
        <f t="shared" si="23"/>
        <v>0</v>
      </c>
      <c r="AV41" s="161">
        <f t="shared" si="26"/>
        <v>1500000</v>
      </c>
      <c r="AW41" s="161">
        <f t="shared" si="24"/>
        <v>0</v>
      </c>
      <c r="AX41" s="161">
        <f t="shared" si="25"/>
        <v>0</v>
      </c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</row>
    <row r="42" spans="1:87" ht="12.75" customHeight="1">
      <c r="A42" s="29" t="s">
        <v>11</v>
      </c>
      <c r="B42" s="36">
        <v>3</v>
      </c>
      <c r="C42" s="7" t="s">
        <v>87</v>
      </c>
      <c r="D42" s="122">
        <f>300000</f>
        <v>300000</v>
      </c>
      <c r="E42" s="122">
        <f t="shared" si="27"/>
        <v>900000</v>
      </c>
      <c r="F42" s="122"/>
      <c r="G42" s="122"/>
      <c r="H42" s="122">
        <f t="shared" si="28"/>
        <v>900000</v>
      </c>
      <c r="I42" s="122"/>
      <c r="J42" s="122"/>
      <c r="K42" s="137"/>
      <c r="L42" s="36"/>
      <c r="M42" s="7"/>
      <c r="N42" s="122"/>
      <c r="O42" s="122"/>
      <c r="P42" s="122"/>
      <c r="Q42" s="122"/>
      <c r="R42" s="122"/>
      <c r="S42" s="122"/>
      <c r="T42" s="185"/>
      <c r="U42" s="137"/>
      <c r="V42" s="36"/>
      <c r="W42" s="7"/>
      <c r="X42" s="122"/>
      <c r="Y42" s="122"/>
      <c r="Z42" s="122"/>
      <c r="AA42" s="122"/>
      <c r="AB42" s="122"/>
      <c r="AC42" s="122"/>
      <c r="AD42" s="185"/>
      <c r="AE42" s="137"/>
      <c r="AF42" s="36"/>
      <c r="AG42" s="7"/>
      <c r="AH42" s="122"/>
      <c r="AI42" s="122"/>
      <c r="AJ42" s="122"/>
      <c r="AK42" s="122"/>
      <c r="AL42" s="122"/>
      <c r="AM42" s="122"/>
      <c r="AN42" s="185"/>
      <c r="AO42" s="137"/>
      <c r="AP42" s="36">
        <v>3</v>
      </c>
      <c r="AQ42" s="122" t="s">
        <v>87</v>
      </c>
      <c r="AR42" s="122"/>
      <c r="AS42" s="161">
        <f t="shared" si="21"/>
        <v>900000</v>
      </c>
      <c r="AT42" s="161">
        <f t="shared" si="22"/>
        <v>0</v>
      </c>
      <c r="AU42" s="161">
        <f t="shared" si="23"/>
        <v>0</v>
      </c>
      <c r="AV42" s="161">
        <f t="shared" si="26"/>
        <v>900000</v>
      </c>
      <c r="AW42" s="161">
        <f t="shared" si="24"/>
        <v>0</v>
      </c>
      <c r="AX42" s="161">
        <f t="shared" si="25"/>
        <v>0</v>
      </c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</row>
    <row r="43" spans="1:87" ht="12.75" customHeight="1">
      <c r="A43" s="29" t="s">
        <v>91</v>
      </c>
      <c r="B43" s="36">
        <v>6</v>
      </c>
      <c r="C43" s="7" t="s">
        <v>88</v>
      </c>
      <c r="D43" s="122">
        <f>400000</f>
        <v>400000</v>
      </c>
      <c r="E43" s="122">
        <f t="shared" si="27"/>
        <v>2400000</v>
      </c>
      <c r="F43" s="122"/>
      <c r="G43" s="122"/>
      <c r="H43" s="122">
        <f t="shared" si="28"/>
        <v>2400000</v>
      </c>
      <c r="I43" s="122"/>
      <c r="J43" s="122"/>
      <c r="K43" s="137"/>
      <c r="L43" s="36"/>
      <c r="M43" s="7"/>
      <c r="N43" s="122"/>
      <c r="O43" s="122"/>
      <c r="P43" s="122"/>
      <c r="Q43" s="122"/>
      <c r="R43" s="122"/>
      <c r="S43" s="122"/>
      <c r="T43" s="185"/>
      <c r="U43" s="137"/>
      <c r="V43" s="36"/>
      <c r="W43" s="7"/>
      <c r="X43" s="122"/>
      <c r="Y43" s="122"/>
      <c r="Z43" s="122"/>
      <c r="AA43" s="122"/>
      <c r="AB43" s="122"/>
      <c r="AC43" s="122"/>
      <c r="AD43" s="185"/>
      <c r="AE43" s="137"/>
      <c r="AF43" s="36"/>
      <c r="AG43" s="7"/>
      <c r="AH43" s="122"/>
      <c r="AI43" s="122"/>
      <c r="AJ43" s="122"/>
      <c r="AK43" s="122"/>
      <c r="AL43" s="122"/>
      <c r="AM43" s="122"/>
      <c r="AN43" s="185"/>
      <c r="AO43" s="137"/>
      <c r="AP43" s="36">
        <v>6</v>
      </c>
      <c r="AQ43" s="122" t="s">
        <v>88</v>
      </c>
      <c r="AR43" s="122"/>
      <c r="AS43" s="161">
        <f t="shared" si="21"/>
        <v>2400000</v>
      </c>
      <c r="AT43" s="161">
        <f t="shared" si="22"/>
        <v>0</v>
      </c>
      <c r="AU43" s="161">
        <f t="shared" si="23"/>
        <v>0</v>
      </c>
      <c r="AV43" s="161">
        <f t="shared" si="26"/>
        <v>2400000</v>
      </c>
      <c r="AW43" s="161">
        <f t="shared" si="24"/>
        <v>0</v>
      </c>
      <c r="AX43" s="161">
        <f t="shared" si="25"/>
        <v>0</v>
      </c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</row>
    <row r="44" spans="1:87" ht="12.75" customHeight="1">
      <c r="A44" s="21" t="s">
        <v>35</v>
      </c>
      <c r="B44" s="31"/>
      <c r="C44" s="31"/>
      <c r="D44" s="180"/>
      <c r="E44" s="163">
        <f>SUM(E33:E43)</f>
        <v>442850000</v>
      </c>
      <c r="F44" s="163">
        <f aca="true" t="shared" si="29" ref="F44:K44">SUM(F33:F43)</f>
        <v>400000000</v>
      </c>
      <c r="G44" s="163">
        <f t="shared" si="29"/>
        <v>0</v>
      </c>
      <c r="H44" s="163">
        <f t="shared" si="29"/>
        <v>42850000</v>
      </c>
      <c r="I44" s="163">
        <f t="shared" si="29"/>
        <v>0</v>
      </c>
      <c r="J44" s="163">
        <f t="shared" si="29"/>
        <v>0</v>
      </c>
      <c r="K44" s="163">
        <f t="shared" si="29"/>
        <v>0</v>
      </c>
      <c r="L44" s="31"/>
      <c r="M44" s="31"/>
      <c r="N44" s="180"/>
      <c r="O44" s="163">
        <f aca="true" t="shared" si="30" ref="O44:T44">SUM(O33:O43)</f>
        <v>0</v>
      </c>
      <c r="P44" s="163">
        <f t="shared" si="30"/>
        <v>0</v>
      </c>
      <c r="Q44" s="163">
        <f t="shared" si="30"/>
        <v>0</v>
      </c>
      <c r="R44" s="163">
        <f t="shared" si="30"/>
        <v>0</v>
      </c>
      <c r="S44" s="163">
        <f t="shared" si="30"/>
        <v>0</v>
      </c>
      <c r="T44" s="163">
        <f t="shared" si="30"/>
        <v>0</v>
      </c>
      <c r="U44" s="137"/>
      <c r="V44" s="163"/>
      <c r="W44" s="163"/>
      <c r="X44" s="163"/>
      <c r="Y44" s="163">
        <f aca="true" t="shared" si="31" ref="Y44:AD44">SUM(Y33:Y43)</f>
        <v>0</v>
      </c>
      <c r="Z44" s="163">
        <f t="shared" si="31"/>
        <v>0</v>
      </c>
      <c r="AA44" s="163">
        <f t="shared" si="31"/>
        <v>0</v>
      </c>
      <c r="AB44" s="163">
        <f t="shared" si="31"/>
        <v>0</v>
      </c>
      <c r="AC44" s="163">
        <f t="shared" si="31"/>
        <v>0</v>
      </c>
      <c r="AD44" s="163">
        <f t="shared" si="31"/>
        <v>0</v>
      </c>
      <c r="AE44" s="137"/>
      <c r="AF44" s="163"/>
      <c r="AG44" s="163"/>
      <c r="AH44" s="163"/>
      <c r="AI44" s="163"/>
      <c r="AJ44" s="163">
        <f>SUM(AJ33:AJ43)</f>
        <v>0</v>
      </c>
      <c r="AK44" s="163">
        <f>SUM(AK33:AK43)</f>
        <v>0</v>
      </c>
      <c r="AL44" s="163">
        <f>SUM(AL33:AL43)</f>
        <v>0</v>
      </c>
      <c r="AM44" s="163">
        <f>SUM(AM33:AM43)</f>
        <v>0</v>
      </c>
      <c r="AN44" s="163">
        <f>SUM(AN33:AN43)</f>
        <v>0</v>
      </c>
      <c r="AO44" s="137"/>
      <c r="AP44" s="180"/>
      <c r="AQ44" s="180"/>
      <c r="AR44" s="180"/>
      <c r="AS44" s="164">
        <f aca="true" t="shared" si="32" ref="AS44:AX44">SUM(AS33:AS43)</f>
        <v>442850000</v>
      </c>
      <c r="AT44" s="163">
        <f t="shared" si="32"/>
        <v>406300000</v>
      </c>
      <c r="AU44" s="163">
        <f t="shared" si="32"/>
        <v>0</v>
      </c>
      <c r="AV44" s="163">
        <f t="shared" si="32"/>
        <v>42850000</v>
      </c>
      <c r="AW44" s="163">
        <f t="shared" si="32"/>
        <v>0</v>
      </c>
      <c r="AX44" s="163">
        <f t="shared" si="32"/>
        <v>0</v>
      </c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</row>
    <row r="45" spans="1:87" ht="4.5" customHeight="1">
      <c r="A45" s="15"/>
      <c r="B45" s="34"/>
      <c r="C45" s="34"/>
      <c r="D45" s="151"/>
      <c r="E45" s="151"/>
      <c r="F45" s="152"/>
      <c r="G45" s="152"/>
      <c r="H45" s="152"/>
      <c r="I45" s="152"/>
      <c r="J45" s="152"/>
      <c r="K45" s="137"/>
      <c r="L45" s="174"/>
      <c r="M45" s="174"/>
      <c r="N45" s="182"/>
      <c r="O45" s="162"/>
      <c r="P45" s="182"/>
      <c r="Q45" s="182"/>
      <c r="R45" s="182"/>
      <c r="S45" s="182"/>
      <c r="T45" s="183"/>
      <c r="U45" s="137"/>
      <c r="V45" s="174"/>
      <c r="W45" s="174"/>
      <c r="X45" s="182"/>
      <c r="Y45" s="162"/>
      <c r="Z45" s="182"/>
      <c r="AA45" s="182"/>
      <c r="AB45" s="182"/>
      <c r="AC45" s="182"/>
      <c r="AD45" s="183"/>
      <c r="AE45" s="137"/>
      <c r="AF45" s="174"/>
      <c r="AG45" s="174"/>
      <c r="AH45" s="182"/>
      <c r="AI45" s="162"/>
      <c r="AJ45" s="182"/>
      <c r="AK45" s="182"/>
      <c r="AL45" s="182"/>
      <c r="AM45" s="182"/>
      <c r="AN45" s="183"/>
      <c r="AO45" s="137"/>
      <c r="AP45" s="125"/>
      <c r="AQ45" s="125"/>
      <c r="AR45" s="123"/>
      <c r="AS45" s="123"/>
      <c r="AT45" s="169"/>
      <c r="AU45" s="170"/>
      <c r="AV45" s="170"/>
      <c r="AW45" s="170"/>
      <c r="AX45" s="171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</row>
    <row r="46" spans="1:87" ht="15.75">
      <c r="A46" s="35" t="s">
        <v>36</v>
      </c>
      <c r="B46" s="397"/>
      <c r="C46" s="398"/>
      <c r="D46" s="398"/>
      <c r="E46" s="398"/>
      <c r="F46" s="398"/>
      <c r="G46" s="398"/>
      <c r="H46" s="398"/>
      <c r="I46" s="398"/>
      <c r="J46" s="399"/>
      <c r="K46" s="137"/>
      <c r="L46" s="165"/>
      <c r="M46" s="165"/>
      <c r="N46" s="166"/>
      <c r="O46" s="166"/>
      <c r="P46" s="166"/>
      <c r="Q46" s="122"/>
      <c r="R46" s="122"/>
      <c r="S46" s="122"/>
      <c r="T46" s="185"/>
      <c r="U46" s="137"/>
      <c r="V46" s="165"/>
      <c r="W46" s="165"/>
      <c r="X46" s="166"/>
      <c r="Y46" s="166"/>
      <c r="Z46" s="166"/>
      <c r="AA46" s="122"/>
      <c r="AB46" s="122"/>
      <c r="AC46" s="122"/>
      <c r="AD46" s="185"/>
      <c r="AE46" s="137"/>
      <c r="AF46" s="165"/>
      <c r="AG46" s="165"/>
      <c r="AH46" s="166"/>
      <c r="AI46" s="166"/>
      <c r="AJ46" s="166"/>
      <c r="AK46" s="122"/>
      <c r="AL46" s="122"/>
      <c r="AM46" s="122"/>
      <c r="AN46" s="185"/>
      <c r="AO46" s="137"/>
      <c r="AP46" s="389"/>
      <c r="AQ46" s="390"/>
      <c r="AR46" s="390"/>
      <c r="AS46" s="390"/>
      <c r="AT46" s="390"/>
      <c r="AU46" s="390"/>
      <c r="AV46" s="390"/>
      <c r="AW46" s="390"/>
      <c r="AX46" s="391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</row>
    <row r="47" spans="1:87" ht="12.75" customHeight="1">
      <c r="A47" s="29" t="s">
        <v>28</v>
      </c>
      <c r="B47" s="36">
        <f>2000*10</f>
        <v>20000</v>
      </c>
      <c r="C47" s="7" t="s">
        <v>87</v>
      </c>
      <c r="D47" s="122">
        <v>5000</v>
      </c>
      <c r="E47" s="122">
        <f aca="true" t="shared" si="33" ref="E47:E54">SUM(D47*B47)</f>
        <v>100000000</v>
      </c>
      <c r="G47" s="122"/>
      <c r="H47" s="122"/>
      <c r="I47" s="122">
        <f>SUM(E47)</f>
        <v>100000000</v>
      </c>
      <c r="J47" s="122"/>
      <c r="K47" s="137"/>
      <c r="L47" s="36">
        <f>2000*10</f>
        <v>20000</v>
      </c>
      <c r="M47" s="7" t="s">
        <v>87</v>
      </c>
      <c r="N47" s="122">
        <v>5000</v>
      </c>
      <c r="O47" s="122">
        <f>SUM(N47*L47)</f>
        <v>100000000</v>
      </c>
      <c r="Q47" s="122"/>
      <c r="R47" s="122"/>
      <c r="S47" s="122">
        <f>SUM(O47)</f>
        <v>100000000</v>
      </c>
      <c r="T47" s="122"/>
      <c r="U47" s="137"/>
      <c r="V47" s="36">
        <f>2000*10</f>
        <v>20000</v>
      </c>
      <c r="W47" s="7" t="s">
        <v>87</v>
      </c>
      <c r="X47" s="122">
        <v>5000</v>
      </c>
      <c r="Y47" s="122">
        <f>SUM(X47*V47)</f>
        <v>100000000</v>
      </c>
      <c r="AA47" s="122"/>
      <c r="AB47" s="122"/>
      <c r="AC47" s="122">
        <f>SUM(Y47)</f>
        <v>100000000</v>
      </c>
      <c r="AD47" s="122"/>
      <c r="AE47" s="137"/>
      <c r="AF47" s="36">
        <f>2000*10</f>
        <v>20000</v>
      </c>
      <c r="AG47" s="7" t="s">
        <v>87</v>
      </c>
      <c r="AH47" s="122">
        <v>5000</v>
      </c>
      <c r="AI47" s="122">
        <f aca="true" t="shared" si="34" ref="AI47:AI52">SUM(AH47*AF47)</f>
        <v>100000000</v>
      </c>
      <c r="AK47" s="122"/>
      <c r="AL47" s="122"/>
      <c r="AM47" s="122">
        <f aca="true" t="shared" si="35" ref="AM47:AM53">SUM(AI47)</f>
        <v>100000000</v>
      </c>
      <c r="AN47" s="122"/>
      <c r="AO47" s="137"/>
      <c r="AP47" s="160">
        <f aca="true" t="shared" si="36" ref="AP47:AP54">SUM(V47+L47+B47+AF47)</f>
        <v>80000</v>
      </c>
      <c r="AQ47" s="122" t="s">
        <v>87</v>
      </c>
      <c r="AR47" s="122"/>
      <c r="AS47" s="161">
        <f aca="true" t="shared" si="37" ref="AS47:AS54">SUM(Y47+O47+E47+AI47)</f>
        <v>400000000</v>
      </c>
      <c r="AT47" s="161">
        <f aca="true" t="shared" si="38" ref="AT47:AT54">SUM(AC47+S47+I47+AM47)</f>
        <v>400000000</v>
      </c>
      <c r="AU47" s="161">
        <f aca="true" t="shared" si="39" ref="AU47:AU54">SUM(AA47+Q47+G47+AK47)</f>
        <v>0</v>
      </c>
      <c r="AV47" s="161">
        <f aca="true" t="shared" si="40" ref="AV47:AV54">SUM(AB47+R47+H47+AL47)</f>
        <v>0</v>
      </c>
      <c r="AW47" s="161">
        <f>+I47+O47+S47+AC47+AI47</f>
        <v>500000000</v>
      </c>
      <c r="AX47" s="161">
        <f aca="true" t="shared" si="41" ref="AX47:AX54">SUM(AD47+T47+J47+AN47)</f>
        <v>0</v>
      </c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</row>
    <row r="48" spans="1:87" ht="12.75" customHeight="1">
      <c r="A48" s="29" t="s">
        <v>37</v>
      </c>
      <c r="B48" s="36">
        <v>4000</v>
      </c>
      <c r="C48" s="7" t="s">
        <v>87</v>
      </c>
      <c r="D48" s="122">
        <v>1000</v>
      </c>
      <c r="E48" s="122">
        <f t="shared" si="33"/>
        <v>4000000</v>
      </c>
      <c r="G48" s="122"/>
      <c r="H48" s="122"/>
      <c r="I48" s="122">
        <f>SUM(E48)</f>
        <v>4000000</v>
      </c>
      <c r="J48" s="122"/>
      <c r="K48" s="137"/>
      <c r="L48" s="36">
        <v>4000</v>
      </c>
      <c r="M48" s="7" t="s">
        <v>87</v>
      </c>
      <c r="N48" s="122">
        <v>1000</v>
      </c>
      <c r="O48" s="122">
        <f>SUM(N48*L48)</f>
        <v>4000000</v>
      </c>
      <c r="Q48" s="122"/>
      <c r="R48" s="122"/>
      <c r="S48" s="122">
        <f>SUM(O48)</f>
        <v>4000000</v>
      </c>
      <c r="T48" s="122"/>
      <c r="U48" s="137"/>
      <c r="V48" s="36">
        <v>4000</v>
      </c>
      <c r="W48" s="7" t="s">
        <v>87</v>
      </c>
      <c r="X48" s="122">
        <v>1000</v>
      </c>
      <c r="Y48" s="122">
        <f>SUM(X48*V48)</f>
        <v>4000000</v>
      </c>
      <c r="AA48" s="122"/>
      <c r="AB48" s="122"/>
      <c r="AC48" s="122">
        <f>SUM(Y48)</f>
        <v>4000000</v>
      </c>
      <c r="AD48" s="122"/>
      <c r="AE48" s="137"/>
      <c r="AF48" s="36">
        <v>4000</v>
      </c>
      <c r="AG48" s="7" t="s">
        <v>87</v>
      </c>
      <c r="AH48" s="122">
        <v>1000</v>
      </c>
      <c r="AI48" s="122">
        <f t="shared" si="34"/>
        <v>4000000</v>
      </c>
      <c r="AK48" s="122"/>
      <c r="AL48" s="122"/>
      <c r="AM48" s="122">
        <f t="shared" si="35"/>
        <v>4000000</v>
      </c>
      <c r="AN48" s="122"/>
      <c r="AO48" s="137"/>
      <c r="AP48" s="160">
        <f t="shared" si="36"/>
        <v>16000</v>
      </c>
      <c r="AQ48" s="122" t="s">
        <v>87</v>
      </c>
      <c r="AR48" s="122"/>
      <c r="AS48" s="161">
        <f t="shared" si="37"/>
        <v>16000000</v>
      </c>
      <c r="AT48" s="161">
        <f t="shared" si="38"/>
        <v>16000000</v>
      </c>
      <c r="AU48" s="161">
        <f t="shared" si="39"/>
        <v>0</v>
      </c>
      <c r="AV48" s="161">
        <f t="shared" si="40"/>
        <v>0</v>
      </c>
      <c r="AW48" s="161">
        <f aca="true" t="shared" si="42" ref="AW48:AW54">+I48+O48+S48+AC48+AI48</f>
        <v>20000000</v>
      </c>
      <c r="AX48" s="161">
        <f t="shared" si="41"/>
        <v>0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</row>
    <row r="49" spans="1:87" ht="12.75" customHeight="1">
      <c r="A49" s="29" t="s">
        <v>221</v>
      </c>
      <c r="B49" s="36">
        <v>2000</v>
      </c>
      <c r="C49" s="7" t="s">
        <v>87</v>
      </c>
      <c r="D49" s="122">
        <v>30000</v>
      </c>
      <c r="E49" s="122">
        <f t="shared" si="33"/>
        <v>60000000</v>
      </c>
      <c r="G49" s="122"/>
      <c r="H49" s="122"/>
      <c r="I49" s="122">
        <f>SUM(E49)</f>
        <v>60000000</v>
      </c>
      <c r="J49" s="122"/>
      <c r="K49" s="137"/>
      <c r="L49" s="36">
        <v>2000</v>
      </c>
      <c r="M49" s="7" t="s">
        <v>87</v>
      </c>
      <c r="N49" s="122">
        <v>30000</v>
      </c>
      <c r="O49" s="122">
        <f>SUM(N49*L49)</f>
        <v>60000000</v>
      </c>
      <c r="Q49" s="122"/>
      <c r="R49" s="122"/>
      <c r="S49" s="122">
        <f>SUM(O49)</f>
        <v>60000000</v>
      </c>
      <c r="T49" s="122"/>
      <c r="U49" s="137"/>
      <c r="V49" s="36">
        <v>2000</v>
      </c>
      <c r="W49" s="7" t="s">
        <v>87</v>
      </c>
      <c r="X49" s="122">
        <v>30000</v>
      </c>
      <c r="Y49" s="122">
        <f>SUM(X49*V49)</f>
        <v>60000000</v>
      </c>
      <c r="AA49" s="122"/>
      <c r="AB49" s="122"/>
      <c r="AC49" s="122">
        <f>SUM(Y49)</f>
        <v>60000000</v>
      </c>
      <c r="AD49" s="122"/>
      <c r="AE49" s="137"/>
      <c r="AF49" s="36">
        <v>2000</v>
      </c>
      <c r="AG49" s="7" t="s">
        <v>87</v>
      </c>
      <c r="AH49" s="122">
        <v>30000</v>
      </c>
      <c r="AI49" s="122">
        <f t="shared" si="34"/>
        <v>60000000</v>
      </c>
      <c r="AK49" s="122"/>
      <c r="AL49" s="122"/>
      <c r="AM49" s="122">
        <f t="shared" si="35"/>
        <v>60000000</v>
      </c>
      <c r="AN49" s="122"/>
      <c r="AO49" s="137"/>
      <c r="AP49" s="160">
        <f t="shared" si="36"/>
        <v>8000</v>
      </c>
      <c r="AQ49" s="122" t="s">
        <v>87</v>
      </c>
      <c r="AR49" s="122"/>
      <c r="AS49" s="161">
        <f t="shared" si="37"/>
        <v>240000000</v>
      </c>
      <c r="AT49" s="161">
        <f t="shared" si="38"/>
        <v>240000000</v>
      </c>
      <c r="AU49" s="161">
        <f t="shared" si="39"/>
        <v>0</v>
      </c>
      <c r="AV49" s="161">
        <f t="shared" si="40"/>
        <v>0</v>
      </c>
      <c r="AW49" s="161">
        <f t="shared" si="42"/>
        <v>300000000</v>
      </c>
      <c r="AX49" s="161">
        <f t="shared" si="41"/>
        <v>0</v>
      </c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</row>
    <row r="50" spans="1:87" ht="12.75" customHeight="1">
      <c r="A50" s="29" t="s">
        <v>33</v>
      </c>
      <c r="B50" s="36">
        <v>200</v>
      </c>
      <c r="C50" s="7" t="s">
        <v>93</v>
      </c>
      <c r="D50" s="122">
        <v>3000</v>
      </c>
      <c r="E50" s="122">
        <f t="shared" si="33"/>
        <v>600000</v>
      </c>
      <c r="G50" s="122"/>
      <c r="H50" s="122"/>
      <c r="I50" s="122">
        <f>SUM(E50)</f>
        <v>600000</v>
      </c>
      <c r="J50" s="122"/>
      <c r="K50" s="137"/>
      <c r="L50" s="36">
        <v>200</v>
      </c>
      <c r="M50" s="7" t="s">
        <v>93</v>
      </c>
      <c r="N50" s="122">
        <v>3000</v>
      </c>
      <c r="O50" s="122">
        <f>SUM(N50*L50)</f>
        <v>600000</v>
      </c>
      <c r="Q50" s="122"/>
      <c r="R50" s="122"/>
      <c r="S50" s="122">
        <f>SUM(O50)</f>
        <v>600000</v>
      </c>
      <c r="T50" s="122"/>
      <c r="U50" s="137"/>
      <c r="V50" s="36">
        <v>200</v>
      </c>
      <c r="W50" s="7" t="s">
        <v>93</v>
      </c>
      <c r="X50" s="122">
        <v>3000</v>
      </c>
      <c r="Y50" s="122">
        <f>SUM(X50*V50)</f>
        <v>600000</v>
      </c>
      <c r="AA50" s="122"/>
      <c r="AB50" s="122"/>
      <c r="AC50" s="122">
        <f>SUM(Y50)</f>
        <v>600000</v>
      </c>
      <c r="AD50" s="122"/>
      <c r="AE50" s="137"/>
      <c r="AF50" s="36">
        <v>200</v>
      </c>
      <c r="AG50" s="7" t="s">
        <v>93</v>
      </c>
      <c r="AH50" s="122">
        <v>3000</v>
      </c>
      <c r="AI50" s="122">
        <f t="shared" si="34"/>
        <v>600000</v>
      </c>
      <c r="AK50" s="122"/>
      <c r="AL50" s="122"/>
      <c r="AM50" s="122">
        <f t="shared" si="35"/>
        <v>600000</v>
      </c>
      <c r="AN50" s="122"/>
      <c r="AO50" s="137"/>
      <c r="AP50" s="160">
        <f t="shared" si="36"/>
        <v>800</v>
      </c>
      <c r="AQ50" s="122" t="s">
        <v>93</v>
      </c>
      <c r="AR50" s="122"/>
      <c r="AS50" s="161">
        <f t="shared" si="37"/>
        <v>2400000</v>
      </c>
      <c r="AT50" s="161">
        <f t="shared" si="38"/>
        <v>2400000</v>
      </c>
      <c r="AU50" s="161">
        <f t="shared" si="39"/>
        <v>0</v>
      </c>
      <c r="AV50" s="161">
        <f t="shared" si="40"/>
        <v>0</v>
      </c>
      <c r="AW50" s="161">
        <f t="shared" si="42"/>
        <v>3000000</v>
      </c>
      <c r="AX50" s="161">
        <f t="shared" si="41"/>
        <v>0</v>
      </c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</row>
    <row r="51" spans="1:87" ht="12.75" customHeight="1">
      <c r="A51" s="29" t="s">
        <v>222</v>
      </c>
      <c r="B51" s="36">
        <v>5000</v>
      </c>
      <c r="C51" s="7" t="s">
        <v>87</v>
      </c>
      <c r="D51" s="122">
        <v>5000</v>
      </c>
      <c r="E51" s="122">
        <f t="shared" si="33"/>
        <v>25000000</v>
      </c>
      <c r="G51" s="122"/>
      <c r="H51" s="122"/>
      <c r="I51" s="122">
        <f>SUM(E51)</f>
        <v>25000000</v>
      </c>
      <c r="J51" s="122"/>
      <c r="K51" s="137"/>
      <c r="L51" s="36">
        <v>5000</v>
      </c>
      <c r="M51" s="7" t="s">
        <v>87</v>
      </c>
      <c r="N51" s="122">
        <v>5000</v>
      </c>
      <c r="O51" s="122">
        <f>SUM(N51*L51)</f>
        <v>25000000</v>
      </c>
      <c r="Q51" s="122"/>
      <c r="R51" s="122"/>
      <c r="S51" s="122">
        <f>SUM(O51)</f>
        <v>25000000</v>
      </c>
      <c r="T51" s="122"/>
      <c r="U51" s="137"/>
      <c r="V51" s="36">
        <v>5000</v>
      </c>
      <c r="W51" s="7" t="s">
        <v>87</v>
      </c>
      <c r="X51" s="122">
        <v>5000</v>
      </c>
      <c r="Y51" s="122">
        <f>SUM(X51*V51)</f>
        <v>25000000</v>
      </c>
      <c r="AA51" s="122"/>
      <c r="AB51" s="122"/>
      <c r="AC51" s="122">
        <f>SUM(Y51)</f>
        <v>25000000</v>
      </c>
      <c r="AD51" s="122"/>
      <c r="AE51" s="137"/>
      <c r="AF51" s="36">
        <v>5000</v>
      </c>
      <c r="AG51" s="7" t="s">
        <v>87</v>
      </c>
      <c r="AH51" s="122">
        <v>5000</v>
      </c>
      <c r="AI51" s="122">
        <f t="shared" si="34"/>
        <v>25000000</v>
      </c>
      <c r="AK51" s="122"/>
      <c r="AL51" s="122"/>
      <c r="AM51" s="122">
        <f t="shared" si="35"/>
        <v>25000000</v>
      </c>
      <c r="AN51" s="122"/>
      <c r="AO51" s="137"/>
      <c r="AP51" s="160">
        <f t="shared" si="36"/>
        <v>20000</v>
      </c>
      <c r="AQ51" s="122" t="s">
        <v>87</v>
      </c>
      <c r="AR51" s="122"/>
      <c r="AS51" s="161">
        <f t="shared" si="37"/>
        <v>100000000</v>
      </c>
      <c r="AT51" s="161">
        <f t="shared" si="38"/>
        <v>100000000</v>
      </c>
      <c r="AU51" s="161">
        <f t="shared" si="39"/>
        <v>0</v>
      </c>
      <c r="AV51" s="161">
        <f t="shared" si="40"/>
        <v>0</v>
      </c>
      <c r="AW51" s="161">
        <f t="shared" si="42"/>
        <v>125000000</v>
      </c>
      <c r="AX51" s="161">
        <f t="shared" si="41"/>
        <v>0</v>
      </c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</row>
    <row r="52" spans="1:87" ht="12.75" customHeight="1">
      <c r="A52" s="29" t="s">
        <v>140</v>
      </c>
      <c r="B52" s="36"/>
      <c r="C52" s="7"/>
      <c r="D52" s="122"/>
      <c r="E52" s="122"/>
      <c r="G52" s="122"/>
      <c r="H52" s="122"/>
      <c r="I52" s="122"/>
      <c r="J52" s="122"/>
      <c r="K52" s="137"/>
      <c r="L52" s="36"/>
      <c r="M52" s="7"/>
      <c r="N52" s="122"/>
      <c r="O52" s="122"/>
      <c r="Q52" s="122"/>
      <c r="R52" s="122"/>
      <c r="S52" s="122"/>
      <c r="T52" s="122"/>
      <c r="U52" s="137"/>
      <c r="V52" s="36"/>
      <c r="W52" s="7"/>
      <c r="X52" s="122"/>
      <c r="Y52" s="122"/>
      <c r="AA52" s="122"/>
      <c r="AB52" s="122"/>
      <c r="AC52" s="122"/>
      <c r="AD52" s="122"/>
      <c r="AE52" s="137"/>
      <c r="AF52" s="36">
        <v>2000</v>
      </c>
      <c r="AG52" s="7"/>
      <c r="AH52" s="122">
        <v>30000</v>
      </c>
      <c r="AI52" s="122">
        <f t="shared" si="34"/>
        <v>60000000</v>
      </c>
      <c r="AK52" s="122"/>
      <c r="AL52" s="122"/>
      <c r="AM52" s="122">
        <f t="shared" si="35"/>
        <v>60000000</v>
      </c>
      <c r="AN52" s="122"/>
      <c r="AO52" s="137"/>
      <c r="AP52" s="160">
        <f t="shared" si="36"/>
        <v>2000</v>
      </c>
      <c r="AQ52" s="122" t="s">
        <v>87</v>
      </c>
      <c r="AR52" s="122"/>
      <c r="AS52" s="161">
        <f t="shared" si="37"/>
        <v>60000000</v>
      </c>
      <c r="AT52" s="161">
        <f t="shared" si="38"/>
        <v>60000000</v>
      </c>
      <c r="AU52" s="161">
        <f t="shared" si="39"/>
        <v>0</v>
      </c>
      <c r="AV52" s="161">
        <f>+AS52</f>
        <v>60000000</v>
      </c>
      <c r="AW52" s="161">
        <f t="shared" si="42"/>
        <v>60000000</v>
      </c>
      <c r="AX52" s="161">
        <f t="shared" si="41"/>
        <v>0</v>
      </c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</row>
    <row r="53" spans="1:87" ht="33" customHeight="1">
      <c r="A53" s="227" t="s">
        <v>95</v>
      </c>
      <c r="B53" s="54">
        <v>50</v>
      </c>
      <c r="C53" s="7" t="s">
        <v>94</v>
      </c>
      <c r="D53" s="122">
        <v>2000000</v>
      </c>
      <c r="E53" s="122">
        <v>130000000</v>
      </c>
      <c r="G53" s="122"/>
      <c r="H53" s="122"/>
      <c r="I53" s="122">
        <f>+E53</f>
        <v>130000000</v>
      </c>
      <c r="J53" s="122"/>
      <c r="K53" s="137"/>
      <c r="L53" s="54">
        <v>50</v>
      </c>
      <c r="M53" s="7" t="s">
        <v>94</v>
      </c>
      <c r="N53" s="122">
        <v>2000000</v>
      </c>
      <c r="O53" s="122">
        <f>+L53*N53</f>
        <v>100000000</v>
      </c>
      <c r="Q53" s="122"/>
      <c r="R53" s="122"/>
      <c r="S53" s="122">
        <f>SUM(O53)</f>
        <v>100000000</v>
      </c>
      <c r="T53" s="122"/>
      <c r="U53" s="137"/>
      <c r="V53" s="54">
        <v>50</v>
      </c>
      <c r="W53" s="7" t="s">
        <v>94</v>
      </c>
      <c r="X53" s="122">
        <v>2000000</v>
      </c>
      <c r="Y53" s="122">
        <f>+V53*X53</f>
        <v>100000000</v>
      </c>
      <c r="AA53" s="122"/>
      <c r="AB53" s="122"/>
      <c r="AC53" s="122">
        <f>SUM(Y53)</f>
        <v>100000000</v>
      </c>
      <c r="AD53" s="122"/>
      <c r="AE53" s="137"/>
      <c r="AF53" s="54">
        <v>50</v>
      </c>
      <c r="AG53" s="7" t="s">
        <v>94</v>
      </c>
      <c r="AH53" s="122">
        <v>2000000</v>
      </c>
      <c r="AI53" s="122">
        <f>+AF53*AH53</f>
        <v>100000000</v>
      </c>
      <c r="AK53" s="122"/>
      <c r="AL53" s="122"/>
      <c r="AM53" s="122">
        <f t="shared" si="35"/>
        <v>100000000</v>
      </c>
      <c r="AN53" s="122"/>
      <c r="AO53" s="137"/>
      <c r="AP53" s="160">
        <f t="shared" si="36"/>
        <v>200</v>
      </c>
      <c r="AQ53" s="122" t="s">
        <v>94</v>
      </c>
      <c r="AR53" s="122"/>
      <c r="AS53" s="161">
        <f t="shared" si="37"/>
        <v>430000000</v>
      </c>
      <c r="AT53" s="161">
        <f t="shared" si="38"/>
        <v>430000000</v>
      </c>
      <c r="AU53" s="161">
        <f t="shared" si="39"/>
        <v>0</v>
      </c>
      <c r="AV53" s="161">
        <f t="shared" si="40"/>
        <v>0</v>
      </c>
      <c r="AW53" s="161">
        <f t="shared" si="42"/>
        <v>530000000</v>
      </c>
      <c r="AX53" s="161">
        <f t="shared" si="41"/>
        <v>0</v>
      </c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</row>
    <row r="54" spans="1:87" ht="12.75" customHeight="1">
      <c r="A54" s="226" t="s">
        <v>175</v>
      </c>
      <c r="B54" s="36">
        <v>2000</v>
      </c>
      <c r="C54" s="7" t="s">
        <v>87</v>
      </c>
      <c r="D54" s="122">
        <v>10000</v>
      </c>
      <c r="E54" s="122">
        <f t="shared" si="33"/>
        <v>20000000</v>
      </c>
      <c r="G54" s="122"/>
      <c r="H54" s="122">
        <f>SUM(E54)</f>
        <v>20000000</v>
      </c>
      <c r="I54" s="122"/>
      <c r="J54" s="122"/>
      <c r="K54" s="137"/>
      <c r="L54" s="179"/>
      <c r="M54" s="179"/>
      <c r="N54" s="122"/>
      <c r="O54" s="122"/>
      <c r="Q54" s="122"/>
      <c r="R54" s="122"/>
      <c r="S54" s="122"/>
      <c r="T54" s="185"/>
      <c r="U54" s="137"/>
      <c r="V54" s="179"/>
      <c r="W54" s="179"/>
      <c r="X54" s="122"/>
      <c r="Y54" s="122"/>
      <c r="AA54" s="122"/>
      <c r="AB54" s="122"/>
      <c r="AC54" s="122"/>
      <c r="AD54" s="185"/>
      <c r="AE54" s="137"/>
      <c r="AF54" s="179"/>
      <c r="AG54" s="179"/>
      <c r="AH54" s="122"/>
      <c r="AI54" s="122"/>
      <c r="AK54" s="122"/>
      <c r="AL54" s="122"/>
      <c r="AM54" s="122"/>
      <c r="AN54" s="185"/>
      <c r="AO54" s="137"/>
      <c r="AP54" s="160">
        <f t="shared" si="36"/>
        <v>2000</v>
      </c>
      <c r="AQ54" s="122" t="s">
        <v>87</v>
      </c>
      <c r="AR54" s="122"/>
      <c r="AS54" s="161">
        <f t="shared" si="37"/>
        <v>20000000</v>
      </c>
      <c r="AT54" s="161">
        <f t="shared" si="38"/>
        <v>0</v>
      </c>
      <c r="AU54" s="161">
        <f t="shared" si="39"/>
        <v>0</v>
      </c>
      <c r="AV54" s="161">
        <f t="shared" si="40"/>
        <v>20000000</v>
      </c>
      <c r="AW54" s="161">
        <f t="shared" si="42"/>
        <v>0</v>
      </c>
      <c r="AX54" s="161">
        <f t="shared" si="41"/>
        <v>0</v>
      </c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</row>
    <row r="55" spans="1:87" ht="12.75" customHeight="1">
      <c r="A55" s="21" t="s">
        <v>38</v>
      </c>
      <c r="B55" s="31"/>
      <c r="C55" s="31"/>
      <c r="D55" s="180"/>
      <c r="E55" s="163">
        <f>SUM(E47:E54)</f>
        <v>339600000</v>
      </c>
      <c r="G55" s="163">
        <f>SUM(G47:G54)</f>
        <v>0</v>
      </c>
      <c r="H55" s="163">
        <f>SUM(H47:H54)</f>
        <v>20000000</v>
      </c>
      <c r="I55" s="163">
        <f>SUM(I47:I54)</f>
        <v>319600000</v>
      </c>
      <c r="J55" s="163">
        <f>SUM(J47:J54)</f>
        <v>0</v>
      </c>
      <c r="K55" s="137"/>
      <c r="L55" s="180"/>
      <c r="M55" s="180"/>
      <c r="N55" s="180"/>
      <c r="O55" s="163">
        <f aca="true" t="shared" si="43" ref="O55:T55">SUM(O47:O54)</f>
        <v>289600000</v>
      </c>
      <c r="Q55" s="163">
        <f t="shared" si="43"/>
        <v>0</v>
      </c>
      <c r="R55" s="163">
        <f t="shared" si="43"/>
        <v>0</v>
      </c>
      <c r="S55" s="163">
        <f>SUM(S47:S54)</f>
        <v>289600000</v>
      </c>
      <c r="T55" s="163">
        <f t="shared" si="43"/>
        <v>0</v>
      </c>
      <c r="U55" s="137"/>
      <c r="V55" s="180"/>
      <c r="W55" s="180"/>
      <c r="X55" s="180"/>
      <c r="Y55" s="163">
        <f aca="true" t="shared" si="44" ref="Y55:AD55">SUM(Y47:Y54)</f>
        <v>289600000</v>
      </c>
      <c r="AA55" s="163">
        <f t="shared" si="44"/>
        <v>0</v>
      </c>
      <c r="AB55" s="163">
        <f t="shared" si="44"/>
        <v>0</v>
      </c>
      <c r="AC55" s="163">
        <f>SUM(AC47:AC54)</f>
        <v>289600000</v>
      </c>
      <c r="AD55" s="163">
        <f t="shared" si="44"/>
        <v>0</v>
      </c>
      <c r="AE55" s="137"/>
      <c r="AF55" s="180"/>
      <c r="AG55" s="180"/>
      <c r="AH55" s="180"/>
      <c r="AI55" s="163">
        <f>SUM(AI46:AI54)</f>
        <v>349600000</v>
      </c>
      <c r="AJ55" s="289"/>
      <c r="AK55" s="163">
        <f>SUM(AK47:AK54)</f>
        <v>0</v>
      </c>
      <c r="AL55" s="163">
        <f>SUM(AL47:AL54)</f>
        <v>0</v>
      </c>
      <c r="AM55" s="163">
        <f>SUM(AM47:AM54)</f>
        <v>349600000</v>
      </c>
      <c r="AN55" s="163">
        <f>SUM(AN47:AN54)</f>
        <v>0</v>
      </c>
      <c r="AO55" s="137"/>
      <c r="AP55" s="180"/>
      <c r="AQ55" s="180"/>
      <c r="AR55" s="180"/>
      <c r="AS55" s="164">
        <f aca="true" t="shared" si="45" ref="AS55:AX55">SUM(AS47:AS54)</f>
        <v>1268400000</v>
      </c>
      <c r="AT55" s="163">
        <f t="shared" si="45"/>
        <v>1248400000</v>
      </c>
      <c r="AU55" s="163">
        <f t="shared" si="45"/>
        <v>0</v>
      </c>
      <c r="AV55" s="163">
        <f t="shared" si="45"/>
        <v>80000000</v>
      </c>
      <c r="AW55" s="163">
        <f t="shared" si="45"/>
        <v>1538000000</v>
      </c>
      <c r="AX55" s="163">
        <f t="shared" si="45"/>
        <v>0</v>
      </c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88"/>
      <c r="BS55" s="388"/>
      <c r="BT55" s="388"/>
      <c r="BU55" s="388"/>
      <c r="BV55" s="388"/>
      <c r="BW55" s="388"/>
      <c r="BX55" s="388"/>
      <c r="BY55" s="388"/>
      <c r="BZ55" s="388"/>
      <c r="CA55" s="388"/>
      <c r="CB55" s="388"/>
      <c r="CC55" s="388"/>
      <c r="CD55" s="388"/>
      <c r="CE55" s="388"/>
      <c r="CF55" s="388"/>
      <c r="CG55" s="388"/>
      <c r="CH55" s="388"/>
      <c r="CI55" s="388"/>
    </row>
    <row r="56" spans="1:87" ht="4.5" customHeight="1">
      <c r="A56" s="15"/>
      <c r="B56" s="34"/>
      <c r="C56" s="34"/>
      <c r="D56" s="151"/>
      <c r="E56" s="151"/>
      <c r="F56" s="152"/>
      <c r="G56" s="152"/>
      <c r="H56" s="152"/>
      <c r="I56" s="152"/>
      <c r="J56" s="152"/>
      <c r="K56" s="137"/>
      <c r="L56" s="174"/>
      <c r="M56" s="174"/>
      <c r="N56" s="182"/>
      <c r="O56" s="162"/>
      <c r="P56" s="182"/>
      <c r="Q56" s="182"/>
      <c r="R56" s="182"/>
      <c r="S56" s="182"/>
      <c r="T56" s="183"/>
      <c r="U56" s="137"/>
      <c r="V56" s="174"/>
      <c r="W56" s="174"/>
      <c r="X56" s="182"/>
      <c r="Y56" s="162"/>
      <c r="Z56" s="182"/>
      <c r="AA56" s="182"/>
      <c r="AB56" s="182"/>
      <c r="AC56" s="182"/>
      <c r="AD56" s="183"/>
      <c r="AE56" s="137"/>
      <c r="AF56" s="174"/>
      <c r="AG56" s="174"/>
      <c r="AH56" s="182"/>
      <c r="AI56" s="162"/>
      <c r="AJ56" s="182"/>
      <c r="AK56" s="182"/>
      <c r="AL56" s="182"/>
      <c r="AM56" s="182"/>
      <c r="AN56" s="183"/>
      <c r="AO56" s="137"/>
      <c r="AP56" s="125"/>
      <c r="AQ56" s="125"/>
      <c r="AR56" s="123"/>
      <c r="AS56" s="123"/>
      <c r="AT56" s="169"/>
      <c r="AU56" s="170"/>
      <c r="AV56" s="170"/>
      <c r="AW56" s="170"/>
      <c r="AX56" s="171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88"/>
      <c r="BW56" s="388"/>
      <c r="BX56" s="388"/>
      <c r="BY56" s="388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</row>
    <row r="57" spans="1:87" ht="15.75">
      <c r="A57" s="35" t="s">
        <v>39</v>
      </c>
      <c r="B57" s="397"/>
      <c r="C57" s="398"/>
      <c r="D57" s="398"/>
      <c r="E57" s="398"/>
      <c r="F57" s="398"/>
      <c r="G57" s="398"/>
      <c r="H57" s="398"/>
      <c r="I57" s="398"/>
      <c r="J57" s="399"/>
      <c r="K57" s="137"/>
      <c r="L57" s="165"/>
      <c r="M57" s="165"/>
      <c r="N57" s="166"/>
      <c r="O57" s="166"/>
      <c r="P57" s="166"/>
      <c r="Q57" s="122"/>
      <c r="R57" s="122"/>
      <c r="S57" s="122"/>
      <c r="T57" s="185"/>
      <c r="U57" s="137"/>
      <c r="V57" s="165"/>
      <c r="W57" s="165"/>
      <c r="X57" s="166"/>
      <c r="Y57" s="166"/>
      <c r="Z57" s="166"/>
      <c r="AA57" s="122"/>
      <c r="AB57" s="122"/>
      <c r="AC57" s="122"/>
      <c r="AD57" s="185"/>
      <c r="AE57" s="137"/>
      <c r="AF57" s="165"/>
      <c r="AG57" s="165"/>
      <c r="AH57" s="166"/>
      <c r="AI57" s="166"/>
      <c r="AJ57" s="166"/>
      <c r="AK57" s="122"/>
      <c r="AL57" s="122"/>
      <c r="AM57" s="122"/>
      <c r="AN57" s="185"/>
      <c r="AO57" s="137"/>
      <c r="AP57" s="165"/>
      <c r="AQ57" s="165"/>
      <c r="AR57" s="166"/>
      <c r="AS57" s="166"/>
      <c r="AT57" s="190"/>
      <c r="AU57" s="161"/>
      <c r="AV57" s="161"/>
      <c r="AW57" s="161"/>
      <c r="AX57" s="191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</row>
    <row r="58" spans="1:87" ht="12.75" customHeight="1">
      <c r="A58" s="29" t="s">
        <v>18</v>
      </c>
      <c r="B58" s="36">
        <f>12*3</f>
        <v>36</v>
      </c>
      <c r="C58" s="7" t="s">
        <v>29</v>
      </c>
      <c r="D58" s="122">
        <f>600000</f>
        <v>600000</v>
      </c>
      <c r="E58" s="122">
        <f aca="true" t="shared" si="46" ref="E58:E65">SUM(D58*B58)</f>
        <v>21600000</v>
      </c>
      <c r="F58" s="122"/>
      <c r="G58" s="122"/>
      <c r="H58" s="122">
        <f>SUM(E58)</f>
        <v>21600000</v>
      </c>
      <c r="I58" s="122"/>
      <c r="J58" s="122"/>
      <c r="K58" s="137"/>
      <c r="L58" s="160">
        <f>12*3</f>
        <v>36</v>
      </c>
      <c r="M58" s="122" t="s">
        <v>29</v>
      </c>
      <c r="N58" s="122">
        <f>SUM(D58)*1.058</f>
        <v>634800</v>
      </c>
      <c r="O58" s="122">
        <f>SUM(N58*L58)</f>
        <v>22852800</v>
      </c>
      <c r="P58" s="122"/>
      <c r="Q58" s="122"/>
      <c r="R58" s="122">
        <f>SUM(O58)</f>
        <v>22852800</v>
      </c>
      <c r="S58" s="122"/>
      <c r="T58" s="185"/>
      <c r="U58" s="137"/>
      <c r="V58" s="160">
        <f>12*3</f>
        <v>36</v>
      </c>
      <c r="W58" s="122" t="s">
        <v>29</v>
      </c>
      <c r="X58" s="122">
        <f>SUM(N58)*1.058</f>
        <v>671618.4</v>
      </c>
      <c r="Y58" s="122">
        <f>SUM(X58*V58)</f>
        <v>24178262.400000002</v>
      </c>
      <c r="Z58" s="122"/>
      <c r="AA58" s="122"/>
      <c r="AB58" s="122">
        <f>SUM(Y58)</f>
        <v>24178262.400000002</v>
      </c>
      <c r="AC58" s="122"/>
      <c r="AD58" s="185"/>
      <c r="AE58" s="137"/>
      <c r="AF58" s="160">
        <v>12</v>
      </c>
      <c r="AG58" s="122" t="s">
        <v>27</v>
      </c>
      <c r="AH58" s="122">
        <f>+X58</f>
        <v>671618.4</v>
      </c>
      <c r="AI58" s="122">
        <f>+Y58</f>
        <v>24178262.400000002</v>
      </c>
      <c r="AJ58" s="122"/>
      <c r="AK58" s="122"/>
      <c r="AL58" s="122">
        <f>+AB58</f>
        <v>24178262.400000002</v>
      </c>
      <c r="AM58" s="122"/>
      <c r="AN58" s="185"/>
      <c r="AO58" s="137"/>
      <c r="AP58" s="160">
        <f aca="true" t="shared" si="47" ref="AP58:AP65">SUM(V58+L58+B58+AF58)</f>
        <v>120</v>
      </c>
      <c r="AQ58" s="122" t="s">
        <v>29</v>
      </c>
      <c r="AR58" s="122"/>
      <c r="AS58" s="161">
        <f aca="true" t="shared" si="48" ref="AS58:AS65">SUM(Y58+O58+E58+AI58)</f>
        <v>92809324.80000001</v>
      </c>
      <c r="AT58" s="161">
        <f aca="true" t="shared" si="49" ref="AT58:AT65">SUM(Z58+P58+F58+AJ58)</f>
        <v>0</v>
      </c>
      <c r="AU58" s="161">
        <f aca="true" t="shared" si="50" ref="AU58:AU65">SUM(AA58+Q58+G58+AK58)</f>
        <v>0</v>
      </c>
      <c r="AV58" s="161">
        <f aca="true" t="shared" si="51" ref="AV58:AV65">SUM(AB58+R58+H58+AL58)</f>
        <v>92809324.80000001</v>
      </c>
      <c r="AW58" s="161">
        <f aca="true" t="shared" si="52" ref="AW58:AW65">SUM(AC58+S58+I58+AM58)</f>
        <v>0</v>
      </c>
      <c r="AX58" s="161">
        <f aca="true" t="shared" si="53" ref="AX58:AX65">SUM(AD58+T58+J58+AN58)</f>
        <v>0</v>
      </c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</row>
    <row r="59" spans="1:87" ht="12.75" customHeight="1">
      <c r="A59" s="29" t="s">
        <v>21</v>
      </c>
      <c r="B59" s="36">
        <v>60</v>
      </c>
      <c r="C59" s="7" t="s">
        <v>79</v>
      </c>
      <c r="D59" s="122">
        <f>54000</f>
        <v>54000</v>
      </c>
      <c r="E59" s="122">
        <f t="shared" si="46"/>
        <v>3240000</v>
      </c>
      <c r="F59" s="122"/>
      <c r="G59" s="122"/>
      <c r="H59" s="122">
        <f>SUM(E59)</f>
        <v>3240000</v>
      </c>
      <c r="I59" s="122"/>
      <c r="J59" s="122"/>
      <c r="K59" s="137"/>
      <c r="L59" s="160">
        <v>70</v>
      </c>
      <c r="M59" s="122" t="s">
        <v>79</v>
      </c>
      <c r="N59" s="122">
        <f>SUM(D59)*1.058</f>
        <v>57132</v>
      </c>
      <c r="O59" s="122">
        <f>SUM(N59*L59)</f>
        <v>3999240</v>
      </c>
      <c r="P59" s="122"/>
      <c r="Q59" s="122"/>
      <c r="R59" s="122">
        <f>SUM(O59)</f>
        <v>3999240</v>
      </c>
      <c r="S59" s="122"/>
      <c r="T59" s="159"/>
      <c r="U59" s="137"/>
      <c r="V59" s="160">
        <v>80</v>
      </c>
      <c r="W59" s="122" t="s">
        <v>79</v>
      </c>
      <c r="X59" s="122">
        <f>SUM(N59)*1.058</f>
        <v>60445.656</v>
      </c>
      <c r="Y59" s="122">
        <f>SUM(X59*V59)</f>
        <v>4835652.48</v>
      </c>
      <c r="Z59" s="122"/>
      <c r="AA59" s="122"/>
      <c r="AB59" s="122">
        <f>SUM(Y59)</f>
        <v>4835652.48</v>
      </c>
      <c r="AC59" s="122"/>
      <c r="AD59" s="159"/>
      <c r="AE59" s="137"/>
      <c r="AF59" s="160"/>
      <c r="AG59" s="122"/>
      <c r="AH59" s="122"/>
      <c r="AI59" s="122"/>
      <c r="AJ59" s="122"/>
      <c r="AK59" s="122"/>
      <c r="AL59" s="122"/>
      <c r="AM59" s="122"/>
      <c r="AN59" s="159"/>
      <c r="AO59" s="137"/>
      <c r="AP59" s="160">
        <f t="shared" si="47"/>
        <v>210</v>
      </c>
      <c r="AQ59" s="122" t="s">
        <v>79</v>
      </c>
      <c r="AR59" s="122"/>
      <c r="AS59" s="161">
        <f t="shared" si="48"/>
        <v>12074892.48</v>
      </c>
      <c r="AT59" s="161">
        <f t="shared" si="49"/>
        <v>0</v>
      </c>
      <c r="AU59" s="161">
        <f t="shared" si="50"/>
        <v>0</v>
      </c>
      <c r="AV59" s="161">
        <f t="shared" si="51"/>
        <v>12074892.48</v>
      </c>
      <c r="AW59" s="161">
        <f t="shared" si="52"/>
        <v>0</v>
      </c>
      <c r="AX59" s="161">
        <f t="shared" si="53"/>
        <v>0</v>
      </c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</row>
    <row r="60" spans="1:87" ht="12.75" customHeight="1">
      <c r="A60" s="29" t="s">
        <v>23</v>
      </c>
      <c r="B60">
        <f>(6*35*8)+(9*35*8)</f>
        <v>4200</v>
      </c>
      <c r="C60" s="7" t="s">
        <v>145</v>
      </c>
      <c r="D60" s="122">
        <f>1000</f>
        <v>1000</v>
      </c>
      <c r="E60" s="122">
        <f t="shared" si="46"/>
        <v>4200000</v>
      </c>
      <c r="F60" s="122"/>
      <c r="G60" s="122"/>
      <c r="H60" s="122">
        <f>E60</f>
        <v>4200000</v>
      </c>
      <c r="I60" s="122"/>
      <c r="K60" s="137"/>
      <c r="L60" s="160">
        <f>+B60</f>
        <v>4200</v>
      </c>
      <c r="M60" s="122" t="s">
        <v>145</v>
      </c>
      <c r="N60" s="122">
        <f>SUM(D60)*1.058</f>
        <v>1058</v>
      </c>
      <c r="O60" s="122">
        <f>SUM(N60*L60)</f>
        <v>4443600</v>
      </c>
      <c r="P60" s="122"/>
      <c r="Q60" s="122"/>
      <c r="R60" s="122">
        <f>O60</f>
        <v>4443600</v>
      </c>
      <c r="S60" s="122"/>
      <c r="U60" s="137"/>
      <c r="V60" s="160">
        <v>5200</v>
      </c>
      <c r="W60" s="122" t="s">
        <v>145</v>
      </c>
      <c r="X60" s="122">
        <f>SUM(N60)*1.058</f>
        <v>1119.364</v>
      </c>
      <c r="Y60" s="122">
        <f>SUM(X60*V60)</f>
        <v>5820692.8</v>
      </c>
      <c r="Z60" s="122"/>
      <c r="AA60" s="122"/>
      <c r="AB60" s="122">
        <f>Y60</f>
        <v>5820692.8</v>
      </c>
      <c r="AC60" s="122"/>
      <c r="AE60" s="137"/>
      <c r="AF60" s="160">
        <v>2500</v>
      </c>
      <c r="AG60" s="122" t="s">
        <v>145</v>
      </c>
      <c r="AH60" s="122">
        <f>SUM(X60)*1.058</f>
        <v>1184.287112</v>
      </c>
      <c r="AI60" s="122">
        <f>SUM(AH60*AF60)</f>
        <v>2960717.78</v>
      </c>
      <c r="AJ60" s="122"/>
      <c r="AK60" s="122"/>
      <c r="AL60" s="122">
        <f>AI60</f>
        <v>2960717.78</v>
      </c>
      <c r="AM60" s="122"/>
      <c r="AO60" s="137"/>
      <c r="AP60" s="160">
        <f t="shared" si="47"/>
        <v>16100</v>
      </c>
      <c r="AQ60" s="122" t="s">
        <v>145</v>
      </c>
      <c r="AR60" s="122"/>
      <c r="AS60" s="161">
        <f t="shared" si="48"/>
        <v>17425010.580000002</v>
      </c>
      <c r="AT60" s="161">
        <f t="shared" si="49"/>
        <v>0</v>
      </c>
      <c r="AU60" s="161">
        <f t="shared" si="50"/>
        <v>0</v>
      </c>
      <c r="AV60" s="161">
        <f>+H60+R60+AB60+AL60</f>
        <v>17425010.580000002</v>
      </c>
      <c r="AW60" s="161">
        <f t="shared" si="52"/>
        <v>0</v>
      </c>
      <c r="AX60" s="161">
        <v>0</v>
      </c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</row>
    <row r="61" spans="1:87" ht="12.75" customHeight="1">
      <c r="A61" s="29" t="s">
        <v>24</v>
      </c>
      <c r="B61" s="36">
        <f>+(15)</f>
        <v>15</v>
      </c>
      <c r="C61" s="7" t="s">
        <v>96</v>
      </c>
      <c r="D61" s="122">
        <f>+(35*9000)</f>
        <v>315000</v>
      </c>
      <c r="E61" s="122">
        <f t="shared" si="46"/>
        <v>4725000</v>
      </c>
      <c r="F61" s="122"/>
      <c r="G61" s="122"/>
      <c r="H61" s="122">
        <f>SUM(E61)</f>
        <v>4725000</v>
      </c>
      <c r="I61" s="122"/>
      <c r="J61" s="122"/>
      <c r="K61" s="137"/>
      <c r="L61" s="160">
        <f>+(15)</f>
        <v>15</v>
      </c>
      <c r="M61" s="122" t="s">
        <v>96</v>
      </c>
      <c r="N61" s="122">
        <f>SUM(D61)*1.058</f>
        <v>333270</v>
      </c>
      <c r="O61" s="122">
        <f>SUM(N61*L61)</f>
        <v>4999050</v>
      </c>
      <c r="P61" s="122"/>
      <c r="Q61" s="122"/>
      <c r="R61" s="122">
        <f>SUM(O61)</f>
        <v>4999050</v>
      </c>
      <c r="S61" s="122"/>
      <c r="T61" s="122"/>
      <c r="U61" s="137"/>
      <c r="V61" s="160">
        <v>12</v>
      </c>
      <c r="W61" s="122" t="s">
        <v>96</v>
      </c>
      <c r="X61" s="122">
        <f>SUM(N61)*1.058</f>
        <v>352599.66000000003</v>
      </c>
      <c r="Y61" s="122">
        <f>SUM(X61*V61)</f>
        <v>4231195.92</v>
      </c>
      <c r="Z61" s="122"/>
      <c r="AA61" s="122"/>
      <c r="AB61" s="122">
        <f>SUM(Y61)</f>
        <v>4231195.92</v>
      </c>
      <c r="AC61" s="122"/>
      <c r="AD61" s="122"/>
      <c r="AE61" s="137"/>
      <c r="AF61" s="160"/>
      <c r="AG61" s="122"/>
      <c r="AH61" s="122"/>
      <c r="AI61" s="122"/>
      <c r="AJ61" s="122"/>
      <c r="AK61" s="122"/>
      <c r="AL61" s="122"/>
      <c r="AM61" s="122"/>
      <c r="AN61" s="122"/>
      <c r="AO61" s="137"/>
      <c r="AP61" s="160">
        <f t="shared" si="47"/>
        <v>42</v>
      </c>
      <c r="AQ61" s="122" t="s">
        <v>96</v>
      </c>
      <c r="AR61" s="122"/>
      <c r="AS61" s="161">
        <f t="shared" si="48"/>
        <v>13955245.92</v>
      </c>
      <c r="AT61" s="161">
        <f t="shared" si="49"/>
        <v>0</v>
      </c>
      <c r="AU61" s="161">
        <f t="shared" si="50"/>
        <v>0</v>
      </c>
      <c r="AV61" s="161">
        <f t="shared" si="51"/>
        <v>13955245.92</v>
      </c>
      <c r="AW61" s="161">
        <f t="shared" si="52"/>
        <v>0</v>
      </c>
      <c r="AX61" s="161">
        <f t="shared" si="53"/>
        <v>0</v>
      </c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</row>
    <row r="62" spans="1:87" ht="12.75" customHeight="1">
      <c r="A62" s="29" t="s">
        <v>144</v>
      </c>
      <c r="B62" s="36">
        <v>1</v>
      </c>
      <c r="C62" s="7" t="s">
        <v>97</v>
      </c>
      <c r="D62" s="122">
        <f>+(5000000)</f>
        <v>5000000</v>
      </c>
      <c r="E62" s="122">
        <f t="shared" si="46"/>
        <v>5000000</v>
      </c>
      <c r="F62" s="122"/>
      <c r="H62" s="122">
        <f>E62</f>
        <v>5000000</v>
      </c>
      <c r="I62" s="122"/>
      <c r="J62" s="122"/>
      <c r="K62" s="137"/>
      <c r="L62" s="174"/>
      <c r="M62" s="174"/>
      <c r="N62" s="162"/>
      <c r="O62" s="162"/>
      <c r="P62" s="162"/>
      <c r="Q62" s="162"/>
      <c r="R62" s="162"/>
      <c r="S62" s="162"/>
      <c r="T62" s="159"/>
      <c r="U62" s="137"/>
      <c r="V62" s="160"/>
      <c r="W62" s="122"/>
      <c r="X62" s="122"/>
      <c r="Y62" s="122"/>
      <c r="Z62" s="122"/>
      <c r="AA62" s="122"/>
      <c r="AB62" s="122"/>
      <c r="AC62" s="122"/>
      <c r="AD62" s="122"/>
      <c r="AE62" s="137"/>
      <c r="AF62" s="160"/>
      <c r="AG62" s="122"/>
      <c r="AH62" s="122"/>
      <c r="AI62" s="122"/>
      <c r="AJ62" s="122"/>
      <c r="AK62" s="122"/>
      <c r="AL62" s="122"/>
      <c r="AM62" s="122"/>
      <c r="AN62" s="122"/>
      <c r="AO62" s="137"/>
      <c r="AP62" s="160">
        <f t="shared" si="47"/>
        <v>1</v>
      </c>
      <c r="AQ62" s="122" t="s">
        <v>97</v>
      </c>
      <c r="AR62" s="162"/>
      <c r="AS62" s="161">
        <f t="shared" si="48"/>
        <v>5000000</v>
      </c>
      <c r="AT62" s="161">
        <f t="shared" si="49"/>
        <v>0</v>
      </c>
      <c r="AU62" s="161">
        <f t="shared" si="50"/>
        <v>0</v>
      </c>
      <c r="AV62" s="161">
        <f>SUM(AA62+Q62+H62+AK62)</f>
        <v>5000000</v>
      </c>
      <c r="AW62" s="161">
        <f t="shared" si="52"/>
        <v>0</v>
      </c>
      <c r="AX62" s="161">
        <f t="shared" si="53"/>
        <v>0</v>
      </c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</row>
    <row r="63" spans="1:87" ht="12.75" customHeight="1">
      <c r="A63" s="29" t="s">
        <v>98</v>
      </c>
      <c r="B63" s="36">
        <v>20</v>
      </c>
      <c r="C63" s="7" t="s">
        <v>99</v>
      </c>
      <c r="D63" s="122">
        <f>+(250000)</f>
        <v>250000</v>
      </c>
      <c r="E63" s="122">
        <f t="shared" si="46"/>
        <v>5000000</v>
      </c>
      <c r="F63" s="122"/>
      <c r="G63" s="122"/>
      <c r="H63" s="122">
        <f>SUM(E63)</f>
        <v>5000000</v>
      </c>
      <c r="I63" s="122"/>
      <c r="J63" s="122"/>
      <c r="K63" s="137"/>
      <c r="L63" s="174"/>
      <c r="M63" s="174"/>
      <c r="N63" s="162"/>
      <c r="O63" s="162"/>
      <c r="P63" s="162"/>
      <c r="Q63" s="162"/>
      <c r="R63" s="162"/>
      <c r="S63" s="162"/>
      <c r="T63" s="185"/>
      <c r="U63" s="137"/>
      <c r="V63" s="160"/>
      <c r="W63" s="122"/>
      <c r="X63" s="122"/>
      <c r="Y63" s="122"/>
      <c r="Z63" s="122"/>
      <c r="AA63" s="122"/>
      <c r="AB63" s="122"/>
      <c r="AC63" s="122"/>
      <c r="AD63" s="122"/>
      <c r="AE63" s="137"/>
      <c r="AF63" s="160"/>
      <c r="AG63" s="122"/>
      <c r="AH63" s="122"/>
      <c r="AI63" s="122"/>
      <c r="AJ63" s="122"/>
      <c r="AK63" s="122"/>
      <c r="AL63" s="122"/>
      <c r="AM63" s="122"/>
      <c r="AN63" s="122"/>
      <c r="AO63" s="137"/>
      <c r="AP63" s="160">
        <f t="shared" si="47"/>
        <v>20</v>
      </c>
      <c r="AQ63" s="122" t="s">
        <v>99</v>
      </c>
      <c r="AR63" s="162"/>
      <c r="AS63" s="161">
        <f t="shared" si="48"/>
        <v>5000000</v>
      </c>
      <c r="AT63" s="161">
        <f t="shared" si="49"/>
        <v>0</v>
      </c>
      <c r="AU63" s="161">
        <f t="shared" si="50"/>
        <v>0</v>
      </c>
      <c r="AV63" s="161">
        <f t="shared" si="51"/>
        <v>5000000</v>
      </c>
      <c r="AW63" s="161">
        <f t="shared" si="52"/>
        <v>0</v>
      </c>
      <c r="AX63" s="161">
        <f t="shared" si="53"/>
        <v>0</v>
      </c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</row>
    <row r="64" spans="1:87" ht="12.75" customHeight="1">
      <c r="A64" s="29" t="s">
        <v>52</v>
      </c>
      <c r="B64" s="36">
        <v>3</v>
      </c>
      <c r="C64" s="7" t="s">
        <v>100</v>
      </c>
      <c r="D64" s="122">
        <f>+(80000)</f>
        <v>80000</v>
      </c>
      <c r="E64" s="122">
        <f t="shared" si="46"/>
        <v>240000</v>
      </c>
      <c r="F64" s="122"/>
      <c r="G64" s="122"/>
      <c r="H64" s="122">
        <f>SUM(E64)</f>
        <v>240000</v>
      </c>
      <c r="I64" s="122"/>
      <c r="J64" s="122"/>
      <c r="K64" s="137"/>
      <c r="L64" s="160">
        <v>3</v>
      </c>
      <c r="M64" s="122" t="s">
        <v>100</v>
      </c>
      <c r="N64" s="122">
        <f>SUM(D64)*1.058</f>
        <v>84640</v>
      </c>
      <c r="O64" s="122">
        <f>SUM(N64*L64)</f>
        <v>253920</v>
      </c>
      <c r="P64" s="122"/>
      <c r="Q64" s="122"/>
      <c r="R64" s="122">
        <f>SUM(O64)</f>
        <v>253920</v>
      </c>
      <c r="S64" s="122"/>
      <c r="T64" s="122"/>
      <c r="U64" s="137"/>
      <c r="V64" s="160">
        <v>3</v>
      </c>
      <c r="W64" s="122" t="s">
        <v>100</v>
      </c>
      <c r="X64" s="122">
        <f>SUM(N64*1.058)</f>
        <v>89549.12000000001</v>
      </c>
      <c r="Y64" s="122">
        <f>SUM(X64*V64)</f>
        <v>268647.36000000004</v>
      </c>
      <c r="Z64" s="122"/>
      <c r="AA64" s="122"/>
      <c r="AB64" s="122">
        <f>SUM(Y64)</f>
        <v>268647.36000000004</v>
      </c>
      <c r="AC64" s="122"/>
      <c r="AD64" s="122"/>
      <c r="AE64" s="137"/>
      <c r="AF64" s="160"/>
      <c r="AG64" s="122"/>
      <c r="AH64" s="122"/>
      <c r="AI64" s="122"/>
      <c r="AJ64" s="122"/>
      <c r="AK64" s="122"/>
      <c r="AL64" s="122"/>
      <c r="AM64" s="122"/>
      <c r="AN64" s="122"/>
      <c r="AO64" s="137"/>
      <c r="AP64" s="160">
        <f t="shared" si="47"/>
        <v>9</v>
      </c>
      <c r="AQ64" s="122" t="s">
        <v>100</v>
      </c>
      <c r="AR64" s="162"/>
      <c r="AS64" s="161">
        <f t="shared" si="48"/>
        <v>762567.3600000001</v>
      </c>
      <c r="AT64" s="161">
        <f t="shared" si="49"/>
        <v>0</v>
      </c>
      <c r="AU64" s="161">
        <f t="shared" si="50"/>
        <v>0</v>
      </c>
      <c r="AV64" s="161">
        <f t="shared" si="51"/>
        <v>762567.3600000001</v>
      </c>
      <c r="AW64" s="161">
        <f t="shared" si="52"/>
        <v>0</v>
      </c>
      <c r="AX64" s="161">
        <f t="shared" si="53"/>
        <v>0</v>
      </c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1:87" s="16" customFormat="1" ht="38.25">
      <c r="A65" s="227" t="s">
        <v>149</v>
      </c>
      <c r="B65" s="36">
        <v>7875</v>
      </c>
      <c r="C65" s="7" t="s">
        <v>79</v>
      </c>
      <c r="D65" s="122">
        <v>35000</v>
      </c>
      <c r="E65" s="122">
        <f t="shared" si="46"/>
        <v>275625000</v>
      </c>
      <c r="F65" s="122"/>
      <c r="G65" s="122"/>
      <c r="H65" s="122">
        <f>SUM(E65)</f>
        <v>275625000</v>
      </c>
      <c r="I65" s="122"/>
      <c r="J65" s="122"/>
      <c r="K65" s="137"/>
      <c r="L65" s="160">
        <v>7875</v>
      </c>
      <c r="M65" s="122" t="s">
        <v>79</v>
      </c>
      <c r="N65" s="122">
        <v>10</v>
      </c>
      <c r="O65" s="122">
        <f>SUM(N65*L65)</f>
        <v>78750</v>
      </c>
      <c r="P65" s="122"/>
      <c r="Q65" s="122"/>
      <c r="R65" s="122">
        <f>SUM(O65)</f>
        <v>78750</v>
      </c>
      <c r="S65" s="122"/>
      <c r="T65" s="122"/>
      <c r="U65" s="137"/>
      <c r="V65" s="160">
        <v>3375</v>
      </c>
      <c r="W65" s="122" t="s">
        <v>79</v>
      </c>
      <c r="X65" s="122">
        <v>10</v>
      </c>
      <c r="Y65" s="122">
        <f>SUM(X65*V65)</f>
        <v>33750</v>
      </c>
      <c r="Z65" s="122"/>
      <c r="AA65" s="122"/>
      <c r="AB65" s="122">
        <f>SUM(Y65)</f>
        <v>33750</v>
      </c>
      <c r="AC65" s="122"/>
      <c r="AD65" s="122"/>
      <c r="AE65" s="137"/>
      <c r="AF65" s="160">
        <f>+V65</f>
        <v>3375</v>
      </c>
      <c r="AG65" s="160" t="str">
        <f>+W65</f>
        <v>Horas</v>
      </c>
      <c r="AH65" s="160">
        <f>+X65</f>
        <v>10</v>
      </c>
      <c r="AI65" s="160">
        <f>+Y65</f>
        <v>33750</v>
      </c>
      <c r="AJ65" s="160"/>
      <c r="AK65" s="160"/>
      <c r="AL65" s="160">
        <f>+AB65</f>
        <v>33750</v>
      </c>
      <c r="AM65" s="160"/>
      <c r="AN65" s="122"/>
      <c r="AO65" s="137"/>
      <c r="AP65" s="160">
        <f t="shared" si="47"/>
        <v>22500</v>
      </c>
      <c r="AQ65" s="122" t="s">
        <v>79</v>
      </c>
      <c r="AR65" s="122"/>
      <c r="AS65" s="161">
        <f t="shared" si="48"/>
        <v>275771250</v>
      </c>
      <c r="AT65" s="161">
        <f t="shared" si="49"/>
        <v>0</v>
      </c>
      <c r="AU65" s="161">
        <f t="shared" si="50"/>
        <v>0</v>
      </c>
      <c r="AV65" s="161">
        <f t="shared" si="51"/>
        <v>275771250</v>
      </c>
      <c r="AW65" s="161">
        <f t="shared" si="52"/>
        <v>0</v>
      </c>
      <c r="AX65" s="161">
        <f t="shared" si="53"/>
        <v>0</v>
      </c>
      <c r="AY65" s="189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</row>
    <row r="66" spans="1:87" ht="12.75" customHeight="1">
      <c r="A66" s="21" t="s">
        <v>40</v>
      </c>
      <c r="B66" s="31"/>
      <c r="C66" s="31"/>
      <c r="D66" s="180"/>
      <c r="E66" s="163">
        <f aca="true" t="shared" si="54" ref="E66:J66">SUM(E58:E65)</f>
        <v>319630000</v>
      </c>
      <c r="F66" s="163">
        <f t="shared" si="54"/>
        <v>0</v>
      </c>
      <c r="G66" s="163">
        <f t="shared" si="54"/>
        <v>0</v>
      </c>
      <c r="H66" s="163">
        <f t="shared" si="54"/>
        <v>319630000</v>
      </c>
      <c r="I66" s="163">
        <f t="shared" si="54"/>
        <v>0</v>
      </c>
      <c r="J66" s="163">
        <f t="shared" si="54"/>
        <v>0</v>
      </c>
      <c r="K66" s="137"/>
      <c r="L66" s="180"/>
      <c r="M66" s="180"/>
      <c r="N66" s="180"/>
      <c r="O66" s="163">
        <f aca="true" t="shared" si="55" ref="O66:T66">SUM(O58:O65)</f>
        <v>36627360</v>
      </c>
      <c r="P66" s="163">
        <f t="shared" si="55"/>
        <v>0</v>
      </c>
      <c r="Q66" s="163">
        <f t="shared" si="55"/>
        <v>0</v>
      </c>
      <c r="R66" s="163">
        <f t="shared" si="55"/>
        <v>36627360</v>
      </c>
      <c r="S66" s="163">
        <f t="shared" si="55"/>
        <v>0</v>
      </c>
      <c r="T66" s="163">
        <f t="shared" si="55"/>
        <v>0</v>
      </c>
      <c r="U66" s="137"/>
      <c r="V66" s="180"/>
      <c r="W66" s="180"/>
      <c r="X66" s="180"/>
      <c r="Y66" s="163">
        <f aca="true" t="shared" si="56" ref="Y66:AD66">SUM(Y58:Y65)</f>
        <v>39368200.96</v>
      </c>
      <c r="Z66" s="163">
        <f t="shared" si="56"/>
        <v>0</v>
      </c>
      <c r="AA66" s="163">
        <f t="shared" si="56"/>
        <v>0</v>
      </c>
      <c r="AB66" s="163">
        <f t="shared" si="56"/>
        <v>39368200.96</v>
      </c>
      <c r="AC66" s="163">
        <f t="shared" si="56"/>
        <v>0</v>
      </c>
      <c r="AD66" s="163">
        <f t="shared" si="56"/>
        <v>0</v>
      </c>
      <c r="AE66" s="137"/>
      <c r="AF66" s="180"/>
      <c r="AG66" s="180"/>
      <c r="AH66" s="180"/>
      <c r="AI66" s="163">
        <f>SUM(AI57:AI65)</f>
        <v>27172730.180000003</v>
      </c>
      <c r="AJ66" s="163">
        <f>SUM(AJ58:AJ65)</f>
        <v>0</v>
      </c>
      <c r="AK66" s="163">
        <f>SUM(AK58:AK65)</f>
        <v>0</v>
      </c>
      <c r="AL66" s="163">
        <f>SUM(AL58:AL65)</f>
        <v>27172730.180000003</v>
      </c>
      <c r="AM66" s="163">
        <f>SUM(AM58:AM65)</f>
        <v>0</v>
      </c>
      <c r="AN66" s="163">
        <f>SUM(AN58:AN65)</f>
        <v>0</v>
      </c>
      <c r="AO66" s="137"/>
      <c r="AP66" s="180"/>
      <c r="AQ66" s="180"/>
      <c r="AR66" s="180"/>
      <c r="AS66" s="164">
        <f aca="true" t="shared" si="57" ref="AS66:AX66">SUM(AS58:AS65)</f>
        <v>422798291.14</v>
      </c>
      <c r="AT66" s="163">
        <f t="shared" si="57"/>
        <v>0</v>
      </c>
      <c r="AU66" s="163">
        <f t="shared" si="57"/>
        <v>0</v>
      </c>
      <c r="AV66" s="163">
        <f t="shared" si="57"/>
        <v>422798291.14</v>
      </c>
      <c r="AW66" s="163">
        <f t="shared" si="57"/>
        <v>0</v>
      </c>
      <c r="AX66" s="163">
        <f t="shared" si="57"/>
        <v>0</v>
      </c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/>
      <c r="BN66" s="388"/>
      <c r="BO66" s="388"/>
      <c r="BP66" s="388"/>
      <c r="BQ66" s="388"/>
      <c r="BR66" s="388"/>
      <c r="BS66" s="388"/>
      <c r="BT66" s="388"/>
      <c r="BU66" s="388"/>
      <c r="BV66" s="388"/>
      <c r="BW66" s="388"/>
      <c r="BX66" s="388"/>
      <c r="BY66" s="388"/>
      <c r="BZ66" s="388"/>
      <c r="CA66" s="388"/>
      <c r="CB66" s="388"/>
      <c r="CC66" s="388"/>
      <c r="CD66" s="388"/>
      <c r="CE66" s="388"/>
      <c r="CF66" s="388"/>
      <c r="CG66" s="388"/>
      <c r="CH66" s="388"/>
      <c r="CI66" s="388"/>
    </row>
    <row r="67" spans="1:87" ht="4.5" customHeight="1">
      <c r="A67" s="15"/>
      <c r="B67" s="34"/>
      <c r="C67" s="34"/>
      <c r="D67" s="151"/>
      <c r="E67" s="151"/>
      <c r="F67" s="152"/>
      <c r="G67" s="152"/>
      <c r="H67" s="152"/>
      <c r="I67" s="152"/>
      <c r="J67" s="152"/>
      <c r="K67" s="137"/>
      <c r="L67" s="174"/>
      <c r="M67" s="174"/>
      <c r="N67" s="182"/>
      <c r="O67" s="162"/>
      <c r="P67" s="182"/>
      <c r="Q67" s="182"/>
      <c r="R67" s="182"/>
      <c r="S67" s="182"/>
      <c r="T67" s="183"/>
      <c r="U67" s="137"/>
      <c r="V67" s="174"/>
      <c r="W67" s="174"/>
      <c r="X67" s="182"/>
      <c r="Y67" s="162"/>
      <c r="Z67" s="182"/>
      <c r="AA67" s="182"/>
      <c r="AB67" s="182"/>
      <c r="AC67" s="182"/>
      <c r="AD67" s="183"/>
      <c r="AE67" s="137"/>
      <c r="AF67" s="174"/>
      <c r="AG67" s="174"/>
      <c r="AH67" s="182"/>
      <c r="AI67" s="162"/>
      <c r="AJ67" s="182"/>
      <c r="AK67" s="182"/>
      <c r="AL67" s="182"/>
      <c r="AM67" s="182"/>
      <c r="AN67" s="183"/>
      <c r="AO67" s="137"/>
      <c r="AP67" s="125"/>
      <c r="AQ67" s="125"/>
      <c r="AR67" s="123"/>
      <c r="AS67" s="123"/>
      <c r="AT67" s="169"/>
      <c r="AU67" s="170"/>
      <c r="AV67" s="170"/>
      <c r="AW67" s="170"/>
      <c r="AX67" s="171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/>
      <c r="BN67" s="388"/>
      <c r="BO67" s="388"/>
      <c r="BP67" s="388"/>
      <c r="BQ67" s="388"/>
      <c r="BR67" s="388"/>
      <c r="BS67" s="388"/>
      <c r="BT67" s="388"/>
      <c r="BU67" s="388"/>
      <c r="BV67" s="388"/>
      <c r="BW67" s="388"/>
      <c r="BX67" s="388"/>
      <c r="BY67" s="388"/>
      <c r="BZ67" s="388"/>
      <c r="CA67" s="388"/>
      <c r="CB67" s="388"/>
      <c r="CC67" s="388"/>
      <c r="CD67" s="388"/>
      <c r="CE67" s="388"/>
      <c r="CF67" s="388"/>
      <c r="CG67" s="388"/>
      <c r="CH67" s="388"/>
      <c r="CI67" s="388"/>
    </row>
    <row r="68" spans="1:87" ht="15.75">
      <c r="A68" s="35" t="s">
        <v>30</v>
      </c>
      <c r="B68" s="397"/>
      <c r="C68" s="398"/>
      <c r="D68" s="398"/>
      <c r="E68" s="398"/>
      <c r="F68" s="398"/>
      <c r="G68" s="398"/>
      <c r="H68" s="398"/>
      <c r="I68" s="398"/>
      <c r="J68" s="399"/>
      <c r="K68" s="137"/>
      <c r="L68" s="389"/>
      <c r="M68" s="390"/>
      <c r="N68" s="390"/>
      <c r="O68" s="390"/>
      <c r="P68" s="390"/>
      <c r="Q68" s="390"/>
      <c r="R68" s="390"/>
      <c r="S68" s="390"/>
      <c r="T68" s="391"/>
      <c r="U68" s="137"/>
      <c r="V68" s="389"/>
      <c r="W68" s="390"/>
      <c r="X68" s="390"/>
      <c r="Y68" s="390"/>
      <c r="Z68" s="390"/>
      <c r="AA68" s="390"/>
      <c r="AB68" s="390"/>
      <c r="AC68" s="390"/>
      <c r="AD68" s="391"/>
      <c r="AE68" s="137"/>
      <c r="AF68" s="172"/>
      <c r="AG68" s="173"/>
      <c r="AH68" s="173"/>
      <c r="AI68" s="173"/>
      <c r="AJ68" s="173"/>
      <c r="AK68" s="173"/>
      <c r="AL68" s="173"/>
      <c r="AM68" s="173"/>
      <c r="AN68" s="173"/>
      <c r="AO68" s="137"/>
      <c r="AP68" s="389"/>
      <c r="AQ68" s="390"/>
      <c r="AR68" s="390"/>
      <c r="AS68" s="390"/>
      <c r="AT68" s="390"/>
      <c r="AU68" s="390"/>
      <c r="AV68" s="390"/>
      <c r="AW68" s="390"/>
      <c r="AX68" s="391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/>
      <c r="BN68" s="388"/>
      <c r="BO68" s="388"/>
      <c r="BP68" s="388"/>
      <c r="BQ68" s="388"/>
      <c r="BR68" s="388"/>
      <c r="BS68" s="388"/>
      <c r="BT68" s="388"/>
      <c r="BU68" s="388"/>
      <c r="BV68" s="388"/>
      <c r="BW68" s="388"/>
      <c r="BX68" s="388"/>
      <c r="BY68" s="388"/>
      <c r="BZ68" s="388"/>
      <c r="CA68" s="388"/>
      <c r="CB68" s="388"/>
      <c r="CC68" s="388"/>
      <c r="CD68" s="388"/>
      <c r="CE68" s="388"/>
      <c r="CF68" s="388"/>
      <c r="CG68" s="388"/>
      <c r="CH68" s="388"/>
      <c r="CI68" s="388"/>
    </row>
    <row r="69" spans="1:87" ht="12.75" customHeight="1">
      <c r="A69" s="29" t="s">
        <v>16</v>
      </c>
      <c r="B69" s="36">
        <f>12*3</f>
        <v>36</v>
      </c>
      <c r="C69" s="7" t="s">
        <v>32</v>
      </c>
      <c r="D69" s="122">
        <f>+(40000)</f>
        <v>40000</v>
      </c>
      <c r="E69" s="122">
        <f>SUM(D69*B69)</f>
        <v>1440000</v>
      </c>
      <c r="F69" s="122"/>
      <c r="H69" s="122">
        <f>SUM(E69)</f>
        <v>1440000</v>
      </c>
      <c r="I69" s="122"/>
      <c r="J69" s="122"/>
      <c r="K69" s="137"/>
      <c r="L69" s="160">
        <f>12*3</f>
        <v>36</v>
      </c>
      <c r="M69" s="122" t="s">
        <v>32</v>
      </c>
      <c r="N69" s="122">
        <f>SUM(D69)*1.058</f>
        <v>42320</v>
      </c>
      <c r="O69" s="122">
        <f>SUM(N69*L69)</f>
        <v>1523520</v>
      </c>
      <c r="P69" s="122"/>
      <c r="R69" s="122">
        <f>SUM(O69)</f>
        <v>1523520</v>
      </c>
      <c r="S69" s="122"/>
      <c r="T69" s="122"/>
      <c r="U69" s="137"/>
      <c r="V69" s="160">
        <f>12*3</f>
        <v>36</v>
      </c>
      <c r="W69" s="122" t="s">
        <v>32</v>
      </c>
      <c r="X69" s="122">
        <f>SUM(N69)*1.058</f>
        <v>44774.560000000005</v>
      </c>
      <c r="Y69" s="122">
        <f>SUM(X69*V69)</f>
        <v>1611884.1600000001</v>
      </c>
      <c r="Z69" s="122"/>
      <c r="AB69" s="122">
        <f>SUM(Y69)</f>
        <v>1611884.1600000001</v>
      </c>
      <c r="AC69" s="122"/>
      <c r="AD69" s="122"/>
      <c r="AE69" s="137"/>
      <c r="AF69" s="160">
        <f>12*3</f>
        <v>36</v>
      </c>
      <c r="AG69" s="122" t="s">
        <v>32</v>
      </c>
      <c r="AH69" s="122">
        <f>SUM(X69)*1.058</f>
        <v>47371.48448000001</v>
      </c>
      <c r="AI69" s="122">
        <f>SUM(AH69*AF69)</f>
        <v>1705373.4412800001</v>
      </c>
      <c r="AJ69" s="122"/>
      <c r="AL69" s="122">
        <f>SUM(AI69)</f>
        <v>1705373.4412800001</v>
      </c>
      <c r="AM69" s="122"/>
      <c r="AN69" s="122"/>
      <c r="AO69" s="137"/>
      <c r="AP69" s="160">
        <f aca="true" t="shared" si="58" ref="AP69:AP81">SUM(V69+L69+B69+AF69)</f>
        <v>144</v>
      </c>
      <c r="AQ69" s="122" t="s">
        <v>32</v>
      </c>
      <c r="AR69" s="122"/>
      <c r="AS69" s="161">
        <f aca="true" t="shared" si="59" ref="AS69:AS81">SUM(Y69+O69+E69+AI69)</f>
        <v>6280777.60128</v>
      </c>
      <c r="AT69" s="161">
        <f aca="true" t="shared" si="60" ref="AT69:AU81">SUM(Z69+P69+F69+AJ69)</f>
        <v>0</v>
      </c>
      <c r="AU69" s="161">
        <f t="shared" si="60"/>
        <v>0</v>
      </c>
      <c r="AV69" s="161">
        <f>SUM(AB69+R69+H69+AK69)</f>
        <v>4575404.16</v>
      </c>
      <c r="AW69" s="161">
        <f aca="true" t="shared" si="61" ref="AW69:AW81">SUM(AC69+S69+I69+AM69)</f>
        <v>0</v>
      </c>
      <c r="AX69" s="161">
        <f aca="true" t="shared" si="62" ref="AX69:AX81">SUM(AD69+T69+J69+AN69)</f>
        <v>0</v>
      </c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</row>
    <row r="70" spans="1:87" ht="12.75" customHeight="1">
      <c r="A70" s="29" t="s">
        <v>101</v>
      </c>
      <c r="B70" s="36">
        <v>12</v>
      </c>
      <c r="C70" s="7" t="s">
        <v>32</v>
      </c>
      <c r="D70" s="122">
        <f>+(120000)</f>
        <v>120000</v>
      </c>
      <c r="E70" s="122">
        <f>SUM(D70*B70)</f>
        <v>1440000</v>
      </c>
      <c r="F70" s="122"/>
      <c r="G70" s="122"/>
      <c r="H70" s="122">
        <f>SUM(E70)</f>
        <v>1440000</v>
      </c>
      <c r="I70" s="122"/>
      <c r="J70" s="122"/>
      <c r="K70" s="137"/>
      <c r="L70" s="160">
        <v>12</v>
      </c>
      <c r="M70" s="122" t="s">
        <v>32</v>
      </c>
      <c r="N70" s="122">
        <f>SUM(D70)*1.058</f>
        <v>126960</v>
      </c>
      <c r="O70" s="122">
        <f>SUM(N70*L70)</f>
        <v>1523520</v>
      </c>
      <c r="P70" s="122"/>
      <c r="R70" s="122">
        <f>SUM(O70)</f>
        <v>1523520</v>
      </c>
      <c r="S70" s="122"/>
      <c r="T70" s="185"/>
      <c r="U70" s="137"/>
      <c r="V70" s="160">
        <v>12</v>
      </c>
      <c r="W70" s="122" t="s">
        <v>32</v>
      </c>
      <c r="X70" s="122">
        <f>SUM(N70)*1.058</f>
        <v>134323.68</v>
      </c>
      <c r="Y70" s="122">
        <f>SUM(X70*V70)</f>
        <v>1611884.16</v>
      </c>
      <c r="Z70" s="122"/>
      <c r="AA70" s="192"/>
      <c r="AB70" s="122">
        <f>SUM(Y70)</f>
        <v>1611884.16</v>
      </c>
      <c r="AC70" s="122"/>
      <c r="AD70" s="185"/>
      <c r="AE70" s="137"/>
      <c r="AF70" s="160">
        <v>12</v>
      </c>
      <c r="AG70" s="122" t="s">
        <v>32</v>
      </c>
      <c r="AH70" s="122">
        <f>SUM(X70)*1.058</f>
        <v>142114.45344</v>
      </c>
      <c r="AI70" s="122">
        <f>SUM(AH70*AF70)</f>
        <v>1705373.4412800001</v>
      </c>
      <c r="AJ70" s="122"/>
      <c r="AK70" s="192"/>
      <c r="AL70" s="122">
        <f>SUM(AI70)</f>
        <v>1705373.4412800001</v>
      </c>
      <c r="AM70" s="122"/>
      <c r="AN70" s="185"/>
      <c r="AO70" s="137"/>
      <c r="AP70" s="160">
        <f t="shared" si="58"/>
        <v>48</v>
      </c>
      <c r="AQ70" s="122" t="s">
        <v>32</v>
      </c>
      <c r="AR70" s="122"/>
      <c r="AS70" s="161">
        <f t="shared" si="59"/>
        <v>6280777.60128</v>
      </c>
      <c r="AT70" s="161">
        <f t="shared" si="60"/>
        <v>0</v>
      </c>
      <c r="AU70" s="161">
        <f t="shared" si="60"/>
        <v>0</v>
      </c>
      <c r="AV70" s="161">
        <f>SUM(AB70+R70+H70+AK70)</f>
        <v>4575404.16</v>
      </c>
      <c r="AW70" s="161">
        <f t="shared" si="61"/>
        <v>0</v>
      </c>
      <c r="AX70" s="161">
        <f t="shared" si="62"/>
        <v>0</v>
      </c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</row>
    <row r="71" spans="1:87" ht="12.75" customHeight="1">
      <c r="A71" s="29" t="s">
        <v>15</v>
      </c>
      <c r="B71" s="36"/>
      <c r="C71" s="7"/>
      <c r="D71" s="122"/>
      <c r="E71" s="122">
        <v>1500000</v>
      </c>
      <c r="F71" s="122"/>
      <c r="G71" s="122"/>
      <c r="H71" s="123">
        <f>+E71</f>
        <v>1500000</v>
      </c>
      <c r="I71" s="122"/>
      <c r="J71" s="122"/>
      <c r="K71" s="137"/>
      <c r="L71" s="36"/>
      <c r="M71" s="7"/>
      <c r="N71" s="122"/>
      <c r="O71" s="122">
        <v>1500000</v>
      </c>
      <c r="P71" s="122"/>
      <c r="Q71" s="122"/>
      <c r="R71" s="123">
        <f>+O71</f>
        <v>1500000</v>
      </c>
      <c r="S71" s="193"/>
      <c r="T71" s="185"/>
      <c r="U71" s="137"/>
      <c r="V71" s="36"/>
      <c r="W71" s="7"/>
      <c r="X71" s="122"/>
      <c r="Y71" s="122">
        <v>1500000</v>
      </c>
      <c r="Z71" s="122"/>
      <c r="AA71" s="122"/>
      <c r="AB71" s="123">
        <f>+Y71</f>
        <v>1500000</v>
      </c>
      <c r="AC71" s="193"/>
      <c r="AD71" s="185"/>
      <c r="AE71" s="137"/>
      <c r="AF71" s="36"/>
      <c r="AG71" s="7"/>
      <c r="AH71" s="122"/>
      <c r="AI71" s="122">
        <v>1500000</v>
      </c>
      <c r="AJ71" s="122"/>
      <c r="AK71" s="122"/>
      <c r="AL71" s="123">
        <f>+AI71</f>
        <v>1500000</v>
      </c>
      <c r="AM71" s="193"/>
      <c r="AN71" s="185"/>
      <c r="AO71" s="137"/>
      <c r="AP71" s="160">
        <f t="shared" si="58"/>
        <v>0</v>
      </c>
      <c r="AQ71" s="122"/>
      <c r="AR71" s="122"/>
      <c r="AS71" s="161">
        <f t="shared" si="59"/>
        <v>6000000</v>
      </c>
      <c r="AT71" s="161">
        <f t="shared" si="60"/>
        <v>0</v>
      </c>
      <c r="AU71" s="161">
        <f>+G71+Q71+AA71+AK71</f>
        <v>0</v>
      </c>
      <c r="AV71" s="161">
        <f>+H71+R71+AB71+AL71</f>
        <v>6000000</v>
      </c>
      <c r="AW71" s="161">
        <f t="shared" si="61"/>
        <v>0</v>
      </c>
      <c r="AX71" s="161">
        <f t="shared" si="62"/>
        <v>0</v>
      </c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</row>
    <row r="72" spans="1:87" ht="12.75" customHeight="1">
      <c r="A72" s="29" t="s">
        <v>17</v>
      </c>
      <c r="B72" s="36">
        <v>36</v>
      </c>
      <c r="C72" s="7" t="s">
        <v>32</v>
      </c>
      <c r="D72" s="122">
        <f>+(150000)</f>
        <v>150000</v>
      </c>
      <c r="E72" s="122">
        <f>SUM(D72*B72)</f>
        <v>5400000</v>
      </c>
      <c r="F72" s="122"/>
      <c r="G72" s="122"/>
      <c r="H72" s="122">
        <f aca="true" t="shared" si="63" ref="H72:H77">SUM(E72)</f>
        <v>5400000</v>
      </c>
      <c r="I72" s="122"/>
      <c r="J72" s="122"/>
      <c r="K72" s="137"/>
      <c r="L72" s="160">
        <v>36</v>
      </c>
      <c r="M72" s="122" t="s">
        <v>32</v>
      </c>
      <c r="N72" s="122">
        <f>SUM(D72)*1.058</f>
        <v>158700</v>
      </c>
      <c r="O72" s="122">
        <f>SUM(N72*L72)</f>
        <v>5713200</v>
      </c>
      <c r="P72" s="122"/>
      <c r="Q72" s="122"/>
      <c r="R72" s="122">
        <f aca="true" t="shared" si="64" ref="R72:R77">SUM(O72)</f>
        <v>5713200</v>
      </c>
      <c r="S72" s="122"/>
      <c r="T72" s="185"/>
      <c r="U72" s="137"/>
      <c r="V72" s="160">
        <v>36</v>
      </c>
      <c r="W72" s="122" t="s">
        <v>32</v>
      </c>
      <c r="X72" s="122">
        <f>SUM(N72)*1.058</f>
        <v>167904.6</v>
      </c>
      <c r="Y72" s="122">
        <f>SUM(X72*V72)</f>
        <v>6044565.600000001</v>
      </c>
      <c r="Z72" s="122"/>
      <c r="AA72" s="122"/>
      <c r="AB72" s="122">
        <f aca="true" t="shared" si="65" ref="AB72:AB77">SUM(Y72)</f>
        <v>6044565.600000001</v>
      </c>
      <c r="AC72" s="122"/>
      <c r="AD72" s="185"/>
      <c r="AE72" s="137"/>
      <c r="AF72" s="160">
        <v>36</v>
      </c>
      <c r="AG72" s="122" t="s">
        <v>32</v>
      </c>
      <c r="AH72" s="122">
        <f>SUM(X72)*1.058</f>
        <v>177643.0668</v>
      </c>
      <c r="AI72" s="122">
        <f>SUM(AH72*AF72)</f>
        <v>6395150.4048</v>
      </c>
      <c r="AJ72" s="122"/>
      <c r="AK72" s="122"/>
      <c r="AL72" s="122">
        <f aca="true" t="shared" si="66" ref="AL72:AL77">SUM(AI72)</f>
        <v>6395150.4048</v>
      </c>
      <c r="AM72" s="122"/>
      <c r="AN72" s="185"/>
      <c r="AO72" s="137"/>
      <c r="AP72" s="160">
        <f t="shared" si="58"/>
        <v>144</v>
      </c>
      <c r="AQ72" s="122" t="s">
        <v>32</v>
      </c>
      <c r="AR72" s="122"/>
      <c r="AS72" s="161">
        <f t="shared" si="59"/>
        <v>23552916.0048</v>
      </c>
      <c r="AT72" s="161">
        <f t="shared" si="60"/>
        <v>0</v>
      </c>
      <c r="AU72" s="161">
        <f aca="true" t="shared" si="67" ref="AU72:AU81">SUM(AA72+Q72+G72+AK72)</f>
        <v>0</v>
      </c>
      <c r="AV72" s="161">
        <f aca="true" t="shared" si="68" ref="AV72:AV81">SUM(AB72+R72+H72+AL72)</f>
        <v>23552916.0048</v>
      </c>
      <c r="AW72" s="161">
        <f t="shared" si="61"/>
        <v>0</v>
      </c>
      <c r="AX72" s="161">
        <f t="shared" si="62"/>
        <v>0</v>
      </c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</row>
    <row r="73" spans="1:87" ht="12.75" customHeight="1">
      <c r="A73" s="29" t="s">
        <v>8</v>
      </c>
      <c r="B73" s="36">
        <v>12</v>
      </c>
      <c r="C73" s="7" t="s">
        <v>32</v>
      </c>
      <c r="D73" s="122">
        <f>+(120000)</f>
        <v>120000</v>
      </c>
      <c r="E73" s="122">
        <f>SUM(D73*B73)</f>
        <v>1440000</v>
      </c>
      <c r="F73" s="122"/>
      <c r="H73" s="122">
        <f t="shared" si="63"/>
        <v>1440000</v>
      </c>
      <c r="I73" s="122"/>
      <c r="J73" s="122"/>
      <c r="K73" s="137"/>
      <c r="L73" s="160">
        <v>12</v>
      </c>
      <c r="M73" s="122" t="s">
        <v>32</v>
      </c>
      <c r="N73" s="122">
        <f>SUM(D73)*1.058</f>
        <v>126960</v>
      </c>
      <c r="O73" s="122">
        <f>SUM(N73*L73)</f>
        <v>1523520</v>
      </c>
      <c r="P73" s="122"/>
      <c r="R73" s="122">
        <f t="shared" si="64"/>
        <v>1523520</v>
      </c>
      <c r="S73" s="122"/>
      <c r="T73" s="159"/>
      <c r="U73" s="137"/>
      <c r="V73" s="160">
        <v>12</v>
      </c>
      <c r="W73" s="122" t="s">
        <v>32</v>
      </c>
      <c r="X73" s="122">
        <f>SUM(N73)*1.058</f>
        <v>134323.68</v>
      </c>
      <c r="Y73" s="122">
        <f>SUM(X73*V73)</f>
        <v>1611884.16</v>
      </c>
      <c r="Z73" s="122"/>
      <c r="AB73" s="122">
        <f t="shared" si="65"/>
        <v>1611884.16</v>
      </c>
      <c r="AC73" s="122"/>
      <c r="AD73" s="159"/>
      <c r="AE73" s="137"/>
      <c r="AF73" s="160">
        <v>12</v>
      </c>
      <c r="AG73" s="122" t="s">
        <v>32</v>
      </c>
      <c r="AH73" s="122">
        <f>SUM(X73)*1.058</f>
        <v>142114.45344</v>
      </c>
      <c r="AI73" s="122">
        <f>SUM(AH73*AF73)</f>
        <v>1705373.4412800001</v>
      </c>
      <c r="AJ73" s="122"/>
      <c r="AL73" s="122">
        <f t="shared" si="66"/>
        <v>1705373.4412800001</v>
      </c>
      <c r="AM73" s="122"/>
      <c r="AN73" s="159"/>
      <c r="AO73" s="137"/>
      <c r="AP73" s="160">
        <v>36</v>
      </c>
      <c r="AQ73" s="122" t="s">
        <v>32</v>
      </c>
      <c r="AR73" s="122"/>
      <c r="AS73" s="161">
        <f t="shared" si="59"/>
        <v>6280777.60128</v>
      </c>
      <c r="AT73" s="161">
        <f t="shared" si="60"/>
        <v>0</v>
      </c>
      <c r="AU73" s="161">
        <f t="shared" si="67"/>
        <v>0</v>
      </c>
      <c r="AV73" s="161">
        <f>SUM(AB73+R73+H73+AK73)</f>
        <v>4575404.16</v>
      </c>
      <c r="AW73" s="161">
        <f t="shared" si="61"/>
        <v>0</v>
      </c>
      <c r="AX73" s="161">
        <f t="shared" si="62"/>
        <v>0</v>
      </c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</row>
    <row r="74" spans="1:87" ht="12.75" customHeight="1">
      <c r="A74" s="29" t="s">
        <v>9</v>
      </c>
      <c r="B74" s="36">
        <v>3</v>
      </c>
      <c r="C74" s="7" t="s">
        <v>87</v>
      </c>
      <c r="D74" s="122">
        <f>+(6000)</f>
        <v>6000</v>
      </c>
      <c r="E74" s="122">
        <f aca="true" t="shared" si="69" ref="E74:E81">SUM(D74*B74)</f>
        <v>18000</v>
      </c>
      <c r="F74" s="122"/>
      <c r="G74" s="122"/>
      <c r="H74" s="122">
        <f t="shared" si="63"/>
        <v>18000</v>
      </c>
      <c r="I74" s="122"/>
      <c r="J74" s="122"/>
      <c r="K74" s="137"/>
      <c r="L74" s="160">
        <v>3</v>
      </c>
      <c r="M74" s="122" t="s">
        <v>87</v>
      </c>
      <c r="N74" s="122">
        <f aca="true" t="shared" si="70" ref="N74:N79">SUM(D74)*1.058</f>
        <v>6348</v>
      </c>
      <c r="O74" s="122">
        <f aca="true" t="shared" si="71" ref="O74:O79">SUM(N74*L74)</f>
        <v>19044</v>
      </c>
      <c r="P74" s="122"/>
      <c r="Q74" s="122"/>
      <c r="R74" s="122">
        <f t="shared" si="64"/>
        <v>19044</v>
      </c>
      <c r="S74" s="122"/>
      <c r="T74" s="159"/>
      <c r="U74" s="137"/>
      <c r="V74" s="160">
        <v>3</v>
      </c>
      <c r="W74" s="122" t="s">
        <v>87</v>
      </c>
      <c r="X74" s="122">
        <f aca="true" t="shared" si="72" ref="X74:X79">SUM(N74)*1.058</f>
        <v>6716.184</v>
      </c>
      <c r="Y74" s="122">
        <f aca="true" t="shared" si="73" ref="Y74:Y79">SUM(X74*V74)</f>
        <v>20148.552</v>
      </c>
      <c r="Z74" s="122"/>
      <c r="AA74" s="122"/>
      <c r="AB74" s="122">
        <f t="shared" si="65"/>
        <v>20148.552</v>
      </c>
      <c r="AC74" s="122"/>
      <c r="AD74" s="159"/>
      <c r="AE74" s="137"/>
      <c r="AF74" s="160">
        <v>3</v>
      </c>
      <c r="AG74" s="122" t="s">
        <v>87</v>
      </c>
      <c r="AH74" s="122">
        <f aca="true" t="shared" si="74" ref="AH74:AH79">SUM(X74)*1.058</f>
        <v>7105.722672000001</v>
      </c>
      <c r="AI74" s="122">
        <f aca="true" t="shared" si="75" ref="AI74:AI79">SUM(AH74*AF74)</f>
        <v>21317.168016000003</v>
      </c>
      <c r="AJ74" s="122"/>
      <c r="AK74" s="122"/>
      <c r="AL74" s="122">
        <f t="shared" si="66"/>
        <v>21317.168016000003</v>
      </c>
      <c r="AM74" s="122"/>
      <c r="AN74" s="159"/>
      <c r="AO74" s="137"/>
      <c r="AP74" s="160">
        <f t="shared" si="58"/>
        <v>12</v>
      </c>
      <c r="AQ74" s="122" t="s">
        <v>87</v>
      </c>
      <c r="AR74" s="122"/>
      <c r="AS74" s="161">
        <f t="shared" si="59"/>
        <v>78509.720016</v>
      </c>
      <c r="AT74" s="161">
        <f t="shared" si="60"/>
        <v>0</v>
      </c>
      <c r="AU74" s="161">
        <f t="shared" si="67"/>
        <v>0</v>
      </c>
      <c r="AV74" s="161">
        <f t="shared" si="68"/>
        <v>78509.720016</v>
      </c>
      <c r="AW74" s="161">
        <f t="shared" si="61"/>
        <v>0</v>
      </c>
      <c r="AX74" s="161">
        <f t="shared" si="62"/>
        <v>0</v>
      </c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</row>
    <row r="75" spans="1:87" ht="12.75" customHeight="1">
      <c r="A75" s="29" t="s">
        <v>12</v>
      </c>
      <c r="B75" s="36">
        <v>3</v>
      </c>
      <c r="C75" s="7" t="s">
        <v>87</v>
      </c>
      <c r="D75" s="122">
        <f>+(5000)</f>
        <v>5000</v>
      </c>
      <c r="E75" s="122">
        <f t="shared" si="69"/>
        <v>15000</v>
      </c>
      <c r="F75" s="122"/>
      <c r="G75" s="122"/>
      <c r="H75" s="122">
        <f t="shared" si="63"/>
        <v>15000</v>
      </c>
      <c r="I75" s="122"/>
      <c r="J75" s="122"/>
      <c r="K75" s="137"/>
      <c r="L75" s="160">
        <v>3</v>
      </c>
      <c r="M75" s="122" t="s">
        <v>87</v>
      </c>
      <c r="N75" s="122">
        <f t="shared" si="70"/>
        <v>5290</v>
      </c>
      <c r="O75" s="122">
        <f t="shared" si="71"/>
        <v>15870</v>
      </c>
      <c r="P75" s="122"/>
      <c r="Q75" s="122"/>
      <c r="R75" s="122">
        <f t="shared" si="64"/>
        <v>15870</v>
      </c>
      <c r="S75" s="122"/>
      <c r="T75" s="159"/>
      <c r="U75" s="137"/>
      <c r="V75" s="160">
        <v>3</v>
      </c>
      <c r="W75" s="122" t="s">
        <v>87</v>
      </c>
      <c r="X75" s="122">
        <f t="shared" si="72"/>
        <v>5596.820000000001</v>
      </c>
      <c r="Y75" s="122">
        <f t="shared" si="73"/>
        <v>16790.460000000003</v>
      </c>
      <c r="Z75" s="122"/>
      <c r="AA75" s="122"/>
      <c r="AB75" s="122">
        <f t="shared" si="65"/>
        <v>16790.460000000003</v>
      </c>
      <c r="AC75" s="122"/>
      <c r="AD75" s="159"/>
      <c r="AE75" s="137"/>
      <c r="AF75" s="160">
        <v>3</v>
      </c>
      <c r="AG75" s="122" t="s">
        <v>87</v>
      </c>
      <c r="AH75" s="122">
        <f t="shared" si="74"/>
        <v>5921.435560000001</v>
      </c>
      <c r="AI75" s="122">
        <f t="shared" si="75"/>
        <v>17764.30668</v>
      </c>
      <c r="AJ75" s="122"/>
      <c r="AK75" s="122"/>
      <c r="AL75" s="122">
        <f t="shared" si="66"/>
        <v>17764.30668</v>
      </c>
      <c r="AM75" s="122"/>
      <c r="AN75" s="159"/>
      <c r="AO75" s="137"/>
      <c r="AP75" s="160">
        <f t="shared" si="58"/>
        <v>12</v>
      </c>
      <c r="AQ75" s="122" t="s">
        <v>87</v>
      </c>
      <c r="AR75" s="122"/>
      <c r="AS75" s="161">
        <f t="shared" si="59"/>
        <v>65424.76668000001</v>
      </c>
      <c r="AT75" s="161">
        <f t="shared" si="60"/>
        <v>0</v>
      </c>
      <c r="AU75" s="161">
        <f t="shared" si="67"/>
        <v>0</v>
      </c>
      <c r="AV75" s="161">
        <f t="shared" si="68"/>
        <v>65424.76668000001</v>
      </c>
      <c r="AW75" s="161">
        <f t="shared" si="61"/>
        <v>0</v>
      </c>
      <c r="AX75" s="161">
        <f t="shared" si="62"/>
        <v>0</v>
      </c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</row>
    <row r="76" spans="1:87" ht="12.75" customHeight="1">
      <c r="A76" s="29" t="s">
        <v>13</v>
      </c>
      <c r="B76" s="36">
        <v>3</v>
      </c>
      <c r="C76" s="7" t="s">
        <v>87</v>
      </c>
      <c r="D76" s="122">
        <f>+(5000)</f>
        <v>5000</v>
      </c>
      <c r="E76" s="122">
        <f t="shared" si="69"/>
        <v>15000</v>
      </c>
      <c r="F76" s="122"/>
      <c r="G76" s="122"/>
      <c r="H76" s="122">
        <f t="shared" si="63"/>
        <v>15000</v>
      </c>
      <c r="I76" s="122"/>
      <c r="J76" s="122"/>
      <c r="K76" s="137"/>
      <c r="L76" s="160">
        <v>3</v>
      </c>
      <c r="M76" s="122" t="s">
        <v>87</v>
      </c>
      <c r="N76" s="122">
        <f t="shared" si="70"/>
        <v>5290</v>
      </c>
      <c r="O76" s="122">
        <f t="shared" si="71"/>
        <v>15870</v>
      </c>
      <c r="P76" s="122"/>
      <c r="Q76" s="122"/>
      <c r="R76" s="122">
        <f t="shared" si="64"/>
        <v>15870</v>
      </c>
      <c r="S76" s="122"/>
      <c r="T76" s="159"/>
      <c r="U76" s="137"/>
      <c r="V76" s="160">
        <v>3</v>
      </c>
      <c r="W76" s="122" t="s">
        <v>87</v>
      </c>
      <c r="X76" s="122">
        <f t="shared" si="72"/>
        <v>5596.820000000001</v>
      </c>
      <c r="Y76" s="122">
        <f t="shared" si="73"/>
        <v>16790.460000000003</v>
      </c>
      <c r="Z76" s="122"/>
      <c r="AA76" s="122"/>
      <c r="AB76" s="122">
        <f t="shared" si="65"/>
        <v>16790.460000000003</v>
      </c>
      <c r="AC76" s="122"/>
      <c r="AD76" s="159"/>
      <c r="AE76" s="137"/>
      <c r="AF76" s="160">
        <v>3</v>
      </c>
      <c r="AG76" s="122" t="s">
        <v>87</v>
      </c>
      <c r="AH76" s="122">
        <f t="shared" si="74"/>
        <v>5921.435560000001</v>
      </c>
      <c r="AI76" s="122">
        <f t="shared" si="75"/>
        <v>17764.30668</v>
      </c>
      <c r="AJ76" s="122"/>
      <c r="AK76" s="122"/>
      <c r="AL76" s="122">
        <f t="shared" si="66"/>
        <v>17764.30668</v>
      </c>
      <c r="AM76" s="122"/>
      <c r="AN76" s="159"/>
      <c r="AO76" s="137"/>
      <c r="AP76" s="160">
        <f t="shared" si="58"/>
        <v>12</v>
      </c>
      <c r="AQ76" s="122" t="s">
        <v>87</v>
      </c>
      <c r="AR76" s="122"/>
      <c r="AS76" s="161">
        <f t="shared" si="59"/>
        <v>65424.76668000001</v>
      </c>
      <c r="AT76" s="161">
        <f t="shared" si="60"/>
        <v>0</v>
      </c>
      <c r="AU76" s="161">
        <f t="shared" si="67"/>
        <v>0</v>
      </c>
      <c r="AV76" s="161">
        <f t="shared" si="68"/>
        <v>65424.76668000001</v>
      </c>
      <c r="AW76" s="161">
        <f t="shared" si="61"/>
        <v>0</v>
      </c>
      <c r="AX76" s="161">
        <f t="shared" si="62"/>
        <v>0</v>
      </c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</row>
    <row r="77" spans="1:87" ht="12.75" customHeight="1">
      <c r="A77" s="29" t="s">
        <v>14</v>
      </c>
      <c r="B77" s="36">
        <v>3</v>
      </c>
      <c r="C77" s="7" t="s">
        <v>87</v>
      </c>
      <c r="D77" s="122">
        <f>+(5000)</f>
        <v>5000</v>
      </c>
      <c r="E77" s="122">
        <f t="shared" si="69"/>
        <v>15000</v>
      </c>
      <c r="F77" s="122"/>
      <c r="G77" s="122"/>
      <c r="H77" s="122">
        <f t="shared" si="63"/>
        <v>15000</v>
      </c>
      <c r="I77" s="122"/>
      <c r="J77" s="122"/>
      <c r="K77" s="137"/>
      <c r="L77" s="160">
        <v>3</v>
      </c>
      <c r="M77" s="122" t="s">
        <v>87</v>
      </c>
      <c r="N77" s="122">
        <f t="shared" si="70"/>
        <v>5290</v>
      </c>
      <c r="O77" s="122">
        <f t="shared" si="71"/>
        <v>15870</v>
      </c>
      <c r="P77" s="122"/>
      <c r="Q77" s="122"/>
      <c r="R77" s="122">
        <f t="shared" si="64"/>
        <v>15870</v>
      </c>
      <c r="S77" s="122"/>
      <c r="T77" s="159"/>
      <c r="U77" s="137"/>
      <c r="V77" s="160">
        <v>3</v>
      </c>
      <c r="W77" s="122" t="s">
        <v>87</v>
      </c>
      <c r="X77" s="122">
        <f t="shared" si="72"/>
        <v>5596.820000000001</v>
      </c>
      <c r="Y77" s="122">
        <f t="shared" si="73"/>
        <v>16790.460000000003</v>
      </c>
      <c r="Z77" s="122"/>
      <c r="AA77" s="122"/>
      <c r="AB77" s="122">
        <f t="shared" si="65"/>
        <v>16790.460000000003</v>
      </c>
      <c r="AC77" s="122"/>
      <c r="AD77" s="159"/>
      <c r="AE77" s="137"/>
      <c r="AF77" s="160">
        <v>3</v>
      </c>
      <c r="AG77" s="122" t="s">
        <v>87</v>
      </c>
      <c r="AH77" s="122">
        <f t="shared" si="74"/>
        <v>5921.435560000001</v>
      </c>
      <c r="AI77" s="122">
        <f t="shared" si="75"/>
        <v>17764.30668</v>
      </c>
      <c r="AJ77" s="122"/>
      <c r="AK77" s="122"/>
      <c r="AL77" s="122">
        <f t="shared" si="66"/>
        <v>17764.30668</v>
      </c>
      <c r="AM77" s="122"/>
      <c r="AN77" s="159"/>
      <c r="AO77" s="137"/>
      <c r="AP77" s="160">
        <f t="shared" si="58"/>
        <v>12</v>
      </c>
      <c r="AQ77" s="122" t="s">
        <v>87</v>
      </c>
      <c r="AR77" s="122"/>
      <c r="AS77" s="161">
        <f t="shared" si="59"/>
        <v>65424.76668000001</v>
      </c>
      <c r="AT77" s="161">
        <f t="shared" si="60"/>
        <v>0</v>
      </c>
      <c r="AU77" s="161">
        <f t="shared" si="67"/>
        <v>0</v>
      </c>
      <c r="AV77" s="161">
        <f t="shared" si="68"/>
        <v>65424.76668000001</v>
      </c>
      <c r="AW77" s="161">
        <f t="shared" si="61"/>
        <v>0</v>
      </c>
      <c r="AX77" s="161">
        <f t="shared" si="62"/>
        <v>0</v>
      </c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</row>
    <row r="78" spans="1:87" ht="12.75" customHeight="1">
      <c r="A78" s="29" t="s">
        <v>51</v>
      </c>
      <c r="B78" s="36">
        <v>12</v>
      </c>
      <c r="C78" s="7" t="s">
        <v>32</v>
      </c>
      <c r="D78" s="122">
        <f>+(90000)</f>
        <v>90000</v>
      </c>
      <c r="E78" s="122">
        <f t="shared" si="69"/>
        <v>1080000</v>
      </c>
      <c r="F78" s="122">
        <f>0.3*E78</f>
        <v>324000</v>
      </c>
      <c r="H78" s="122">
        <f>0.7*E78</f>
        <v>756000</v>
      </c>
      <c r="I78" s="122"/>
      <c r="J78" s="122"/>
      <c r="K78" s="137"/>
      <c r="L78" s="160">
        <v>12</v>
      </c>
      <c r="M78" s="122" t="s">
        <v>32</v>
      </c>
      <c r="N78" s="122">
        <f t="shared" si="70"/>
        <v>95220</v>
      </c>
      <c r="O78" s="122">
        <f t="shared" si="71"/>
        <v>1142640</v>
      </c>
      <c r="P78" s="122">
        <f>0.3*O78</f>
        <v>342792</v>
      </c>
      <c r="R78" s="122">
        <f>0.7*O78</f>
        <v>799848</v>
      </c>
      <c r="S78" s="122"/>
      <c r="T78" s="185"/>
      <c r="U78" s="137"/>
      <c r="V78" s="160">
        <v>12</v>
      </c>
      <c r="W78" s="122" t="s">
        <v>32</v>
      </c>
      <c r="X78" s="122">
        <f t="shared" si="72"/>
        <v>100742.76000000001</v>
      </c>
      <c r="Y78" s="122">
        <f t="shared" si="73"/>
        <v>1208913.12</v>
      </c>
      <c r="Z78" s="122">
        <f>0.3*Y78</f>
        <v>362673.93600000005</v>
      </c>
      <c r="AB78" s="122">
        <f>0.7*Y78</f>
        <v>846239.184</v>
      </c>
      <c r="AC78" s="122"/>
      <c r="AD78" s="185"/>
      <c r="AE78" s="137"/>
      <c r="AF78" s="160">
        <v>12</v>
      </c>
      <c r="AG78" s="122" t="s">
        <v>32</v>
      </c>
      <c r="AH78" s="122">
        <f t="shared" si="74"/>
        <v>106585.84008000001</v>
      </c>
      <c r="AI78" s="122">
        <f t="shared" si="75"/>
        <v>1279030.0809600002</v>
      </c>
      <c r="AJ78" s="122">
        <f>0.3*AI78</f>
        <v>383709.024288</v>
      </c>
      <c r="AL78" s="122">
        <f>0.7*AI78</f>
        <v>895321.0566720001</v>
      </c>
      <c r="AM78" s="122"/>
      <c r="AN78" s="185"/>
      <c r="AO78" s="137"/>
      <c r="AP78" s="160">
        <f t="shared" si="58"/>
        <v>48</v>
      </c>
      <c r="AQ78" s="122" t="s">
        <v>32</v>
      </c>
      <c r="AR78" s="122"/>
      <c r="AS78" s="161">
        <f t="shared" si="59"/>
        <v>4710583.20096</v>
      </c>
      <c r="AT78" s="161">
        <f t="shared" si="60"/>
        <v>1413174.960288</v>
      </c>
      <c r="AU78" s="161">
        <f t="shared" si="67"/>
        <v>0</v>
      </c>
      <c r="AV78" s="161">
        <f>SUM(AB78+R78+H78+AK78)</f>
        <v>2402087.184</v>
      </c>
      <c r="AW78" s="161">
        <f t="shared" si="61"/>
        <v>0</v>
      </c>
      <c r="AX78" s="161">
        <f t="shared" si="62"/>
        <v>0</v>
      </c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</row>
    <row r="79" spans="1:87" ht="12.75" customHeight="1">
      <c r="A79" s="29" t="s">
        <v>43</v>
      </c>
      <c r="B79" s="36">
        <v>12</v>
      </c>
      <c r="C79" s="7" t="s">
        <v>32</v>
      </c>
      <c r="D79" s="122">
        <f>+(100000)</f>
        <v>100000</v>
      </c>
      <c r="E79" s="122">
        <f t="shared" si="69"/>
        <v>1200000</v>
      </c>
      <c r="F79" s="122">
        <f>0.3*E79</f>
        <v>360000</v>
      </c>
      <c r="H79" s="122">
        <f>0.7*E79</f>
        <v>840000</v>
      </c>
      <c r="I79" s="122"/>
      <c r="J79" s="122"/>
      <c r="K79" s="137"/>
      <c r="L79" s="160">
        <v>12</v>
      </c>
      <c r="M79" s="122" t="s">
        <v>32</v>
      </c>
      <c r="N79" s="122">
        <f t="shared" si="70"/>
        <v>105800</v>
      </c>
      <c r="O79" s="122">
        <f t="shared" si="71"/>
        <v>1269600</v>
      </c>
      <c r="P79" s="122">
        <f>0.3*O79</f>
        <v>380880</v>
      </c>
      <c r="R79" s="122">
        <f>0.7*O79</f>
        <v>888720</v>
      </c>
      <c r="S79" s="122"/>
      <c r="T79" s="185"/>
      <c r="U79" s="137"/>
      <c r="V79" s="160">
        <v>12</v>
      </c>
      <c r="W79" s="122" t="s">
        <v>32</v>
      </c>
      <c r="X79" s="122">
        <f t="shared" si="72"/>
        <v>111936.40000000001</v>
      </c>
      <c r="Y79" s="122">
        <f t="shared" si="73"/>
        <v>1343236.8</v>
      </c>
      <c r="Z79" s="122">
        <f>0.3*Y79</f>
        <v>402971.04</v>
      </c>
      <c r="AB79" s="122">
        <f>0.7*Y79</f>
        <v>940265.76</v>
      </c>
      <c r="AC79" s="122"/>
      <c r="AD79" s="185"/>
      <c r="AE79" s="137"/>
      <c r="AF79" s="160">
        <v>12</v>
      </c>
      <c r="AG79" s="122" t="s">
        <v>32</v>
      </c>
      <c r="AH79" s="122">
        <f t="shared" si="74"/>
        <v>118428.71120000002</v>
      </c>
      <c r="AI79" s="122">
        <f t="shared" si="75"/>
        <v>1421144.5344000002</v>
      </c>
      <c r="AJ79" s="122">
        <f>0.3*AI79</f>
        <v>426343.36032000004</v>
      </c>
      <c r="AL79" s="122">
        <f>0.7*AI79</f>
        <v>994801.1740800001</v>
      </c>
      <c r="AM79" s="122"/>
      <c r="AN79" s="185"/>
      <c r="AO79" s="137"/>
      <c r="AP79" s="160">
        <f t="shared" si="58"/>
        <v>48</v>
      </c>
      <c r="AQ79" s="122" t="s">
        <v>32</v>
      </c>
      <c r="AR79" s="122"/>
      <c r="AS79" s="161">
        <f t="shared" si="59"/>
        <v>5233981.3344</v>
      </c>
      <c r="AT79" s="161">
        <f t="shared" si="60"/>
        <v>1570194.40032</v>
      </c>
      <c r="AU79" s="161">
        <f t="shared" si="67"/>
        <v>0</v>
      </c>
      <c r="AV79" s="161">
        <f>SUM(AB79+R79+H79+AK79)</f>
        <v>2668985.76</v>
      </c>
      <c r="AW79" s="161">
        <f t="shared" si="61"/>
        <v>0</v>
      </c>
      <c r="AX79" s="161">
        <f t="shared" si="62"/>
        <v>0</v>
      </c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</row>
    <row r="80" spans="1:87" ht="12.75" customHeight="1">
      <c r="A80" s="29" t="s">
        <v>44</v>
      </c>
      <c r="B80" s="36">
        <v>600</v>
      </c>
      <c r="C80" s="7" t="s">
        <v>87</v>
      </c>
      <c r="D80" s="122">
        <f>+(1000)</f>
        <v>1000</v>
      </c>
      <c r="E80" s="122">
        <f t="shared" si="69"/>
        <v>600000</v>
      </c>
      <c r="F80" s="122">
        <f>0.3*E80</f>
        <v>180000</v>
      </c>
      <c r="H80" s="122">
        <f>0.7*E80</f>
        <v>420000</v>
      </c>
      <c r="I80" s="122"/>
      <c r="J80" s="122"/>
      <c r="K80" s="137"/>
      <c r="L80" s="179"/>
      <c r="M80" s="179"/>
      <c r="N80" s="122"/>
      <c r="O80" s="122"/>
      <c r="P80" s="122"/>
      <c r="Q80" s="122"/>
      <c r="R80" s="122"/>
      <c r="S80" s="122"/>
      <c r="T80" s="185"/>
      <c r="U80" s="137"/>
      <c r="V80" s="179"/>
      <c r="W80" s="179"/>
      <c r="X80" s="122"/>
      <c r="Y80" s="122"/>
      <c r="Z80" s="122"/>
      <c r="AA80" s="122"/>
      <c r="AB80" s="122"/>
      <c r="AC80" s="122"/>
      <c r="AD80" s="185"/>
      <c r="AE80" s="137"/>
      <c r="AF80" s="179"/>
      <c r="AG80" s="179"/>
      <c r="AH80" s="122"/>
      <c r="AI80" s="122"/>
      <c r="AJ80" s="122"/>
      <c r="AK80" s="122"/>
      <c r="AL80" s="122"/>
      <c r="AM80" s="122"/>
      <c r="AN80" s="185"/>
      <c r="AO80" s="137"/>
      <c r="AP80" s="160">
        <f t="shared" si="58"/>
        <v>600</v>
      </c>
      <c r="AQ80" s="122" t="s">
        <v>87</v>
      </c>
      <c r="AR80" s="122"/>
      <c r="AS80" s="161">
        <f t="shared" si="59"/>
        <v>600000</v>
      </c>
      <c r="AT80" s="161">
        <f t="shared" si="60"/>
        <v>180000</v>
      </c>
      <c r="AU80" s="161">
        <f t="shared" si="67"/>
        <v>0</v>
      </c>
      <c r="AV80" s="161">
        <f>SUM(AA80+Q80+H80+AK80)</f>
        <v>420000</v>
      </c>
      <c r="AW80" s="161">
        <f t="shared" si="61"/>
        <v>0</v>
      </c>
      <c r="AX80" s="161">
        <f t="shared" si="62"/>
        <v>0</v>
      </c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</row>
    <row r="81" spans="1:87" ht="12.75" customHeight="1">
      <c r="A81" s="29" t="s">
        <v>102</v>
      </c>
      <c r="B81" s="36">
        <v>300</v>
      </c>
      <c r="C81" s="7" t="s">
        <v>87</v>
      </c>
      <c r="D81" s="122">
        <f>+(500)</f>
        <v>500</v>
      </c>
      <c r="E81" s="122">
        <f t="shared" si="69"/>
        <v>150000</v>
      </c>
      <c r="F81" s="122"/>
      <c r="G81" s="122"/>
      <c r="H81" s="122">
        <f>E81</f>
        <v>150000</v>
      </c>
      <c r="I81" s="122"/>
      <c r="J81" s="122"/>
      <c r="K81" s="137"/>
      <c r="L81" s="179"/>
      <c r="M81" s="179"/>
      <c r="N81" s="122"/>
      <c r="O81" s="122"/>
      <c r="P81" s="122"/>
      <c r="Q81" s="122"/>
      <c r="R81" s="122"/>
      <c r="S81" s="122"/>
      <c r="T81" s="185"/>
      <c r="U81" s="137"/>
      <c r="V81" s="179"/>
      <c r="W81" s="179"/>
      <c r="X81" s="122"/>
      <c r="Y81" s="122"/>
      <c r="Z81" s="122"/>
      <c r="AA81" s="122"/>
      <c r="AB81" s="122"/>
      <c r="AC81" s="122"/>
      <c r="AD81" s="185"/>
      <c r="AE81" s="137"/>
      <c r="AF81" s="179"/>
      <c r="AG81" s="179"/>
      <c r="AH81" s="122"/>
      <c r="AI81" s="122"/>
      <c r="AJ81" s="122"/>
      <c r="AK81" s="122"/>
      <c r="AL81" s="122"/>
      <c r="AM81" s="122"/>
      <c r="AN81" s="185"/>
      <c r="AO81" s="137"/>
      <c r="AP81" s="160">
        <f t="shared" si="58"/>
        <v>300</v>
      </c>
      <c r="AQ81" s="122" t="s">
        <v>87</v>
      </c>
      <c r="AR81" s="122"/>
      <c r="AS81" s="161">
        <f t="shared" si="59"/>
        <v>150000</v>
      </c>
      <c r="AT81" s="161">
        <f t="shared" si="60"/>
        <v>0</v>
      </c>
      <c r="AU81" s="161">
        <f t="shared" si="67"/>
        <v>0</v>
      </c>
      <c r="AV81" s="161">
        <f t="shared" si="68"/>
        <v>150000</v>
      </c>
      <c r="AW81" s="161">
        <f t="shared" si="61"/>
        <v>0</v>
      </c>
      <c r="AX81" s="161">
        <f t="shared" si="62"/>
        <v>0</v>
      </c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</row>
    <row r="82" spans="1:87" ht="12.75" customHeight="1">
      <c r="A82" s="21" t="s">
        <v>41</v>
      </c>
      <c r="B82" s="31"/>
      <c r="C82" s="31"/>
      <c r="D82" s="180"/>
      <c r="E82" s="163">
        <f>SUM(E69:E81)</f>
        <v>14313000</v>
      </c>
      <c r="F82" s="163">
        <f aca="true" t="shared" si="76" ref="F82:K82">SUM(F69:F81)</f>
        <v>864000</v>
      </c>
      <c r="G82" s="163">
        <f t="shared" si="76"/>
        <v>0</v>
      </c>
      <c r="H82" s="163">
        <f t="shared" si="76"/>
        <v>13449000</v>
      </c>
      <c r="I82" s="163">
        <f t="shared" si="76"/>
        <v>0</v>
      </c>
      <c r="J82" s="163">
        <f t="shared" si="76"/>
        <v>0</v>
      </c>
      <c r="K82" s="163">
        <f t="shared" si="76"/>
        <v>0</v>
      </c>
      <c r="L82" s="180"/>
      <c r="M82" s="180"/>
      <c r="N82" s="180"/>
      <c r="O82" s="163">
        <f aca="true" t="shared" si="77" ref="O82:T82">SUM(O69:O81)</f>
        <v>14262654</v>
      </c>
      <c r="P82" s="163">
        <f t="shared" si="77"/>
        <v>723672</v>
      </c>
      <c r="Q82" s="163">
        <f t="shared" si="77"/>
        <v>0</v>
      </c>
      <c r="R82" s="163">
        <f t="shared" si="77"/>
        <v>13538982</v>
      </c>
      <c r="S82" s="163">
        <f t="shared" si="77"/>
        <v>0</v>
      </c>
      <c r="T82" s="163">
        <f t="shared" si="77"/>
        <v>0</v>
      </c>
      <c r="U82" s="137"/>
      <c r="V82" s="180"/>
      <c r="W82" s="180"/>
      <c r="X82" s="180"/>
      <c r="Y82" s="163">
        <f aca="true" t="shared" si="78" ref="Y82:AD82">SUM(Y69:Y81)</f>
        <v>15002887.932000004</v>
      </c>
      <c r="Z82" s="163">
        <f t="shared" si="78"/>
        <v>765644.976</v>
      </c>
      <c r="AA82" s="163">
        <f t="shared" si="78"/>
        <v>0</v>
      </c>
      <c r="AB82" s="163">
        <f t="shared" si="78"/>
        <v>14237242.956000004</v>
      </c>
      <c r="AC82" s="163">
        <f t="shared" si="78"/>
        <v>0</v>
      </c>
      <c r="AD82" s="163">
        <f t="shared" si="78"/>
        <v>0</v>
      </c>
      <c r="AE82" s="137"/>
      <c r="AF82" s="180"/>
      <c r="AG82" s="180"/>
      <c r="AH82" s="180"/>
      <c r="AI82" s="163">
        <f aca="true" t="shared" si="79" ref="AI82:AN82">SUM(AI69:AI81)</f>
        <v>15786055.432055999</v>
      </c>
      <c r="AJ82" s="163">
        <f t="shared" si="79"/>
        <v>810052.384608</v>
      </c>
      <c r="AK82" s="163">
        <f t="shared" si="79"/>
        <v>0</v>
      </c>
      <c r="AL82" s="163">
        <f t="shared" si="79"/>
        <v>14976003.047447996</v>
      </c>
      <c r="AM82" s="163">
        <f t="shared" si="79"/>
        <v>0</v>
      </c>
      <c r="AN82" s="163">
        <f t="shared" si="79"/>
        <v>0</v>
      </c>
      <c r="AO82" s="137"/>
      <c r="AP82" s="180"/>
      <c r="AQ82" s="180"/>
      <c r="AR82" s="180"/>
      <c r="AS82" s="164">
        <f aca="true" t="shared" si="80" ref="AS82:AX82">SUM(AS69:AS81)</f>
        <v>59364597.36405601</v>
      </c>
      <c r="AT82" s="163">
        <f t="shared" si="80"/>
        <v>3163369.3606080003</v>
      </c>
      <c r="AU82" s="163">
        <f t="shared" si="80"/>
        <v>0</v>
      </c>
      <c r="AV82" s="163">
        <f t="shared" si="80"/>
        <v>49194985.448856</v>
      </c>
      <c r="AW82" s="163">
        <f t="shared" si="80"/>
        <v>0</v>
      </c>
      <c r="AX82" s="163">
        <f t="shared" si="80"/>
        <v>0</v>
      </c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/>
      <c r="BN82" s="388"/>
      <c r="BO82" s="388"/>
      <c r="BP82" s="388"/>
      <c r="BQ82" s="388"/>
      <c r="BR82" s="388"/>
      <c r="BS82" s="388"/>
      <c r="BT82" s="388"/>
      <c r="BU82" s="388"/>
      <c r="BV82" s="388"/>
      <c r="BW82" s="388"/>
      <c r="BX82" s="388"/>
      <c r="BY82" s="388"/>
      <c r="BZ82" s="388"/>
      <c r="CA82" s="388"/>
      <c r="CB82" s="388"/>
      <c r="CC82" s="388"/>
      <c r="CD82" s="388"/>
      <c r="CE82" s="388"/>
      <c r="CF82" s="388"/>
      <c r="CG82" s="388"/>
      <c r="CH82" s="388"/>
      <c r="CI82" s="388"/>
    </row>
    <row r="83" spans="1:87" ht="4.5" customHeight="1">
      <c r="A83" s="15"/>
      <c r="B83" s="34"/>
      <c r="C83" s="34"/>
      <c r="D83" s="151"/>
      <c r="E83" s="151"/>
      <c r="F83" s="152"/>
      <c r="G83" s="152"/>
      <c r="H83" s="152"/>
      <c r="I83" s="152"/>
      <c r="J83" s="152"/>
      <c r="K83" s="137"/>
      <c r="L83" s="174"/>
      <c r="M83" s="174"/>
      <c r="N83" s="182"/>
      <c r="O83" s="162"/>
      <c r="P83" s="182"/>
      <c r="Q83" s="182"/>
      <c r="R83" s="182"/>
      <c r="S83" s="182"/>
      <c r="T83" s="183"/>
      <c r="U83" s="137"/>
      <c r="V83" s="174"/>
      <c r="W83" s="174"/>
      <c r="X83" s="182"/>
      <c r="Y83" s="162"/>
      <c r="Z83" s="182"/>
      <c r="AA83" s="182"/>
      <c r="AB83" s="182"/>
      <c r="AC83" s="182"/>
      <c r="AD83" s="183"/>
      <c r="AE83" s="137"/>
      <c r="AF83" s="174"/>
      <c r="AG83" s="174"/>
      <c r="AH83" s="182"/>
      <c r="AI83" s="162"/>
      <c r="AJ83" s="182"/>
      <c r="AK83" s="182"/>
      <c r="AL83" s="182"/>
      <c r="AM83" s="182"/>
      <c r="AN83" s="183"/>
      <c r="AO83" s="137"/>
      <c r="AP83" s="125"/>
      <c r="AQ83" s="125"/>
      <c r="AR83" s="123"/>
      <c r="AS83" s="123"/>
      <c r="AT83" s="169"/>
      <c r="AU83" s="170"/>
      <c r="AV83" s="170"/>
      <c r="AW83" s="170"/>
      <c r="AX83" s="171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/>
      <c r="BN83" s="388"/>
      <c r="BO83" s="388"/>
      <c r="BP83" s="388"/>
      <c r="BQ83" s="388"/>
      <c r="BR83" s="388"/>
      <c r="BS83" s="388"/>
      <c r="BT83" s="388"/>
      <c r="BU83" s="388"/>
      <c r="BV83" s="388"/>
      <c r="BW83" s="388"/>
      <c r="BX83" s="388"/>
      <c r="BY83" s="388"/>
      <c r="BZ83" s="388"/>
      <c r="CA83" s="388"/>
      <c r="CB83" s="388"/>
      <c r="CC83" s="388"/>
      <c r="CD83" s="388"/>
      <c r="CE83" s="388"/>
      <c r="CF83" s="388"/>
      <c r="CG83" s="388"/>
      <c r="CH83" s="388"/>
      <c r="CI83" s="388"/>
    </row>
    <row r="84" spans="1:87" ht="15.75">
      <c r="A84" s="35" t="s">
        <v>42</v>
      </c>
      <c r="B84" s="397"/>
      <c r="C84" s="398"/>
      <c r="D84" s="398"/>
      <c r="E84" s="398"/>
      <c r="F84" s="398"/>
      <c r="G84" s="398"/>
      <c r="H84" s="398"/>
      <c r="I84" s="398"/>
      <c r="J84" s="399"/>
      <c r="K84" s="137"/>
      <c r="L84" s="389"/>
      <c r="M84" s="390"/>
      <c r="N84" s="390"/>
      <c r="O84" s="390"/>
      <c r="P84" s="390"/>
      <c r="Q84" s="390"/>
      <c r="R84" s="390"/>
      <c r="S84" s="390"/>
      <c r="T84" s="391"/>
      <c r="U84" s="137"/>
      <c r="V84" s="389"/>
      <c r="W84" s="390"/>
      <c r="X84" s="390"/>
      <c r="Y84" s="390"/>
      <c r="Z84" s="390"/>
      <c r="AA84" s="390"/>
      <c r="AB84" s="390"/>
      <c r="AC84" s="390"/>
      <c r="AD84" s="391"/>
      <c r="AE84" s="137"/>
      <c r="AF84" s="172"/>
      <c r="AG84" s="173"/>
      <c r="AH84" s="173"/>
      <c r="AI84" s="173"/>
      <c r="AJ84" s="173"/>
      <c r="AK84" s="173"/>
      <c r="AL84" s="173"/>
      <c r="AM84" s="173"/>
      <c r="AN84" s="173"/>
      <c r="AO84" s="137"/>
      <c r="AP84" s="389"/>
      <c r="AQ84" s="390"/>
      <c r="AR84" s="390"/>
      <c r="AS84" s="390"/>
      <c r="AT84" s="390"/>
      <c r="AU84" s="390"/>
      <c r="AV84" s="390"/>
      <c r="AW84" s="390"/>
      <c r="AX84" s="391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/>
      <c r="BN84" s="388"/>
      <c r="BO84" s="388"/>
      <c r="BP84" s="388"/>
      <c r="BQ84" s="388"/>
      <c r="BR84" s="388"/>
      <c r="BS84" s="388"/>
      <c r="BT84" s="388"/>
      <c r="BU84" s="388"/>
      <c r="BV84" s="388"/>
      <c r="BW84" s="388"/>
      <c r="BX84" s="388"/>
      <c r="BY84" s="388"/>
      <c r="BZ84" s="388"/>
      <c r="CA84" s="388"/>
      <c r="CB84" s="388"/>
      <c r="CC84" s="388"/>
      <c r="CD84" s="388"/>
      <c r="CE84" s="388"/>
      <c r="CF84" s="388"/>
      <c r="CG84" s="388"/>
      <c r="CH84" s="388"/>
      <c r="CI84" s="388"/>
    </row>
    <row r="85" spans="1:87" s="16" customFormat="1" ht="15.75">
      <c r="A85" s="226" t="s">
        <v>106</v>
      </c>
      <c r="B85" s="36">
        <v>12</v>
      </c>
      <c r="C85" s="7" t="s">
        <v>29</v>
      </c>
      <c r="D85" s="122">
        <v>400000</v>
      </c>
      <c r="E85" s="122">
        <f>SUM(B85*D85)</f>
        <v>4800000</v>
      </c>
      <c r="F85" s="122">
        <f>E85</f>
        <v>4800000</v>
      </c>
      <c r="G85" s="122"/>
      <c r="H85" s="122"/>
      <c r="I85" s="122"/>
      <c r="J85" s="122"/>
      <c r="K85" s="137"/>
      <c r="L85" s="160">
        <v>12</v>
      </c>
      <c r="M85" s="122" t="s">
        <v>29</v>
      </c>
      <c r="N85" s="122">
        <f>D85*1.058</f>
        <v>423200</v>
      </c>
      <c r="O85" s="122">
        <f>SUM(L85*N85)</f>
        <v>5078400</v>
      </c>
      <c r="P85" s="122">
        <f>O85</f>
        <v>5078400</v>
      </c>
      <c r="Q85" s="122"/>
      <c r="R85" s="122"/>
      <c r="S85" s="122"/>
      <c r="T85" s="122"/>
      <c r="U85" s="137"/>
      <c r="V85" s="160">
        <v>12</v>
      </c>
      <c r="W85" s="122" t="s">
        <v>29</v>
      </c>
      <c r="X85" s="122">
        <f>N85*1.058</f>
        <v>447745.60000000003</v>
      </c>
      <c r="Y85" s="122">
        <f>SUM(V85*X85)</f>
        <v>5372947.2</v>
      </c>
      <c r="Z85" s="122">
        <f>Y85</f>
        <v>5372947.2</v>
      </c>
      <c r="AA85" s="122"/>
      <c r="AB85" s="122"/>
      <c r="AC85" s="122"/>
      <c r="AD85" s="122"/>
      <c r="AE85" s="137"/>
      <c r="AF85" s="160">
        <v>6</v>
      </c>
      <c r="AG85" s="122" t="s">
        <v>29</v>
      </c>
      <c r="AH85" s="122">
        <f>X85*1.058</f>
        <v>473714.8448000001</v>
      </c>
      <c r="AI85" s="122">
        <f>SUM(AF85*AH85)</f>
        <v>2842289.0688000005</v>
      </c>
      <c r="AJ85" s="122">
        <f>AI85</f>
        <v>2842289.0688000005</v>
      </c>
      <c r="AK85" s="122"/>
      <c r="AL85" s="122"/>
      <c r="AM85" s="122"/>
      <c r="AN85" s="122"/>
      <c r="AO85" s="137"/>
      <c r="AP85" s="160">
        <f>SUM(V85+L85+B85+AF85)</f>
        <v>42</v>
      </c>
      <c r="AQ85" s="122" t="s">
        <v>29</v>
      </c>
      <c r="AR85" s="122"/>
      <c r="AS85" s="161">
        <f aca="true" t="shared" si="81" ref="AS85:AV89">SUM(Y85+O85+E85+AI85)</f>
        <v>18093636.268799998</v>
      </c>
      <c r="AT85" s="161">
        <f t="shared" si="81"/>
        <v>18093636.268799998</v>
      </c>
      <c r="AU85" s="161">
        <f t="shared" si="81"/>
        <v>0</v>
      </c>
      <c r="AV85" s="161">
        <f t="shared" si="81"/>
        <v>0</v>
      </c>
      <c r="AW85" s="161">
        <f aca="true" t="shared" si="82" ref="AW85:AX89">SUM(AC85+S85+I85+AM85)</f>
        <v>0</v>
      </c>
      <c r="AX85" s="161">
        <f t="shared" si="82"/>
        <v>0</v>
      </c>
      <c r="AY85" s="18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</row>
    <row r="86" spans="1:87" ht="15" customHeight="1">
      <c r="A86" s="226" t="s">
        <v>107</v>
      </c>
      <c r="B86" s="36"/>
      <c r="C86" s="7"/>
      <c r="D86" s="122"/>
      <c r="E86" s="122"/>
      <c r="F86" s="122"/>
      <c r="G86" s="122"/>
      <c r="H86" s="122"/>
      <c r="I86" s="122"/>
      <c r="J86" s="122"/>
      <c r="K86" s="137"/>
      <c r="L86" s="160">
        <v>12</v>
      </c>
      <c r="M86" s="122" t="s">
        <v>29</v>
      </c>
      <c r="N86" s="122">
        <f>(500000/$B$3)*1.058</f>
        <v>289.86301369863014</v>
      </c>
      <c r="O86" s="122">
        <f>SUM(L86*N86)</f>
        <v>3478.356164383562</v>
      </c>
      <c r="P86" s="122">
        <f>O86</f>
        <v>3478.356164383562</v>
      </c>
      <c r="Q86" s="122"/>
      <c r="R86" s="122"/>
      <c r="S86" s="122"/>
      <c r="T86" s="122"/>
      <c r="U86" s="137"/>
      <c r="V86" s="160">
        <v>12</v>
      </c>
      <c r="W86" s="122" t="s">
        <v>29</v>
      </c>
      <c r="X86" s="122">
        <f>N86*1.058</f>
        <v>306.6750684931507</v>
      </c>
      <c r="Y86" s="122">
        <f>SUM(V86*X86)</f>
        <v>3680.1008219178084</v>
      </c>
      <c r="Z86" s="122">
        <f>Y86</f>
        <v>3680.1008219178084</v>
      </c>
      <c r="AA86" s="122"/>
      <c r="AB86" s="122"/>
      <c r="AC86" s="122"/>
      <c r="AD86" s="122"/>
      <c r="AE86" s="137"/>
      <c r="AF86" s="160">
        <v>6</v>
      </c>
      <c r="AG86" s="122" t="s">
        <v>29</v>
      </c>
      <c r="AH86" s="122">
        <f>X86*1.058</f>
        <v>324.4622224657535</v>
      </c>
      <c r="AI86" s="122">
        <f>SUM(AF86*AH86)</f>
        <v>1946.773334794521</v>
      </c>
      <c r="AJ86" s="122">
        <f>AI86</f>
        <v>1946.773334794521</v>
      </c>
      <c r="AK86" s="122"/>
      <c r="AL86" s="122"/>
      <c r="AM86" s="122"/>
      <c r="AN86" s="122"/>
      <c r="AO86" s="137"/>
      <c r="AP86" s="160">
        <f>SUM(V86+L86+B86+AF86)</f>
        <v>30</v>
      </c>
      <c r="AQ86" s="122" t="s">
        <v>29</v>
      </c>
      <c r="AR86" s="122"/>
      <c r="AS86" s="161">
        <f t="shared" si="81"/>
        <v>9105.23032109589</v>
      </c>
      <c r="AT86" s="161">
        <f t="shared" si="81"/>
        <v>9105.23032109589</v>
      </c>
      <c r="AU86" s="161">
        <f t="shared" si="81"/>
        <v>0</v>
      </c>
      <c r="AV86" s="161">
        <f t="shared" si="81"/>
        <v>0</v>
      </c>
      <c r="AW86" s="161">
        <f t="shared" si="82"/>
        <v>0</v>
      </c>
      <c r="AX86" s="161">
        <f t="shared" si="82"/>
        <v>0</v>
      </c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</row>
    <row r="87" spans="1:87" ht="30" customHeight="1">
      <c r="A87" s="226" t="s">
        <v>176</v>
      </c>
      <c r="B87" s="36">
        <v>24</v>
      </c>
      <c r="C87" s="7" t="s">
        <v>29</v>
      </c>
      <c r="D87" s="122">
        <v>400000</v>
      </c>
      <c r="E87" s="122">
        <f>SUM(B87*D87)</f>
        <v>9600000</v>
      </c>
      <c r="F87" s="122">
        <f>E87</f>
        <v>9600000</v>
      </c>
      <c r="G87" s="122"/>
      <c r="H87" s="122"/>
      <c r="I87" s="122"/>
      <c r="J87" s="122"/>
      <c r="K87" s="137"/>
      <c r="L87" s="160">
        <v>24</v>
      </c>
      <c r="M87" s="122" t="s">
        <v>29</v>
      </c>
      <c r="N87" s="122">
        <f>D87*1.058</f>
        <v>423200</v>
      </c>
      <c r="O87" s="122">
        <f>SUM(L87*N87)</f>
        <v>10156800</v>
      </c>
      <c r="P87" s="122">
        <f>O87</f>
        <v>10156800</v>
      </c>
      <c r="Q87" s="122"/>
      <c r="R87" s="122"/>
      <c r="S87" s="122"/>
      <c r="T87" s="122"/>
      <c r="U87" s="137"/>
      <c r="V87" s="160">
        <v>12</v>
      </c>
      <c r="W87" s="122" t="s">
        <v>29</v>
      </c>
      <c r="X87" s="122">
        <f>N87*1.058</f>
        <v>447745.60000000003</v>
      </c>
      <c r="Y87" s="122">
        <f>SUM(V87*X87)</f>
        <v>5372947.2</v>
      </c>
      <c r="Z87" s="122">
        <f>Y87</f>
        <v>5372947.2</v>
      </c>
      <c r="AA87" s="122"/>
      <c r="AB87" s="122"/>
      <c r="AC87" s="122"/>
      <c r="AD87" s="122"/>
      <c r="AE87" s="137"/>
      <c r="AF87" s="160">
        <v>6</v>
      </c>
      <c r="AG87" s="122" t="s">
        <v>29</v>
      </c>
      <c r="AH87" s="122">
        <f>X87*1.058</f>
        <v>473714.8448000001</v>
      </c>
      <c r="AI87" s="122">
        <f>SUM(AF87*AH87)</f>
        <v>2842289.0688000005</v>
      </c>
      <c r="AJ87" s="122">
        <f>AI87</f>
        <v>2842289.0688000005</v>
      </c>
      <c r="AK87" s="122"/>
      <c r="AL87" s="122"/>
      <c r="AM87" s="122"/>
      <c r="AN87" s="122"/>
      <c r="AO87" s="137"/>
      <c r="AP87" s="160">
        <f>SUM(V87+L87+B87+AF87)</f>
        <v>66</v>
      </c>
      <c r="AQ87" s="122" t="s">
        <v>29</v>
      </c>
      <c r="AR87" s="122"/>
      <c r="AS87" s="161">
        <f t="shared" si="81"/>
        <v>27972036.268799998</v>
      </c>
      <c r="AT87" s="161">
        <f t="shared" si="81"/>
        <v>27972036.268799998</v>
      </c>
      <c r="AU87" s="161">
        <f t="shared" si="81"/>
        <v>0</v>
      </c>
      <c r="AV87" s="161">
        <f t="shared" si="81"/>
        <v>0</v>
      </c>
      <c r="AW87" s="161">
        <f t="shared" si="82"/>
        <v>0</v>
      </c>
      <c r="AX87" s="161">
        <f t="shared" si="82"/>
        <v>0</v>
      </c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</row>
    <row r="88" spans="1:87" ht="12.75" customHeight="1">
      <c r="A88" s="226" t="s">
        <v>46</v>
      </c>
      <c r="B88" s="36">
        <v>12</v>
      </c>
      <c r="C88" s="7" t="s">
        <v>29</v>
      </c>
      <c r="D88" s="122">
        <v>200000</v>
      </c>
      <c r="E88" s="122">
        <f>SUM(B88*D88)</f>
        <v>2400000</v>
      </c>
      <c r="F88" s="122">
        <f>E88</f>
        <v>2400000</v>
      </c>
      <c r="G88" s="122"/>
      <c r="H88" s="122"/>
      <c r="I88" s="122"/>
      <c r="J88" s="122"/>
      <c r="K88" s="137"/>
      <c r="L88" s="160">
        <v>12</v>
      </c>
      <c r="M88" s="122" t="s">
        <v>29</v>
      </c>
      <c r="N88" s="122">
        <f>D88*1.058</f>
        <v>211600</v>
      </c>
      <c r="O88" s="122">
        <f>SUM(L88*N88)</f>
        <v>2539200</v>
      </c>
      <c r="P88" s="122">
        <f>O88</f>
        <v>2539200</v>
      </c>
      <c r="Q88" s="122"/>
      <c r="R88" s="122"/>
      <c r="S88" s="122"/>
      <c r="T88" s="122"/>
      <c r="U88" s="137"/>
      <c r="V88" s="160">
        <v>12</v>
      </c>
      <c r="W88" s="122" t="s">
        <v>29</v>
      </c>
      <c r="X88" s="122">
        <f>N88*1.058</f>
        <v>223872.80000000002</v>
      </c>
      <c r="Y88" s="122">
        <f>SUM(V88*X88)</f>
        <v>2686473.6</v>
      </c>
      <c r="Z88" s="122">
        <f>Y88</f>
        <v>2686473.6</v>
      </c>
      <c r="AA88" s="122"/>
      <c r="AB88" s="122"/>
      <c r="AC88" s="122"/>
      <c r="AD88" s="122"/>
      <c r="AE88" s="137"/>
      <c r="AF88" s="160">
        <v>6</v>
      </c>
      <c r="AG88" s="122" t="s">
        <v>29</v>
      </c>
      <c r="AH88" s="122">
        <f>X88*1.058</f>
        <v>236857.42240000004</v>
      </c>
      <c r="AI88" s="122">
        <f>SUM(AF88*AH88)</f>
        <v>1421144.5344000002</v>
      </c>
      <c r="AJ88" s="122">
        <f>AI88</f>
        <v>1421144.5344000002</v>
      </c>
      <c r="AK88" s="122"/>
      <c r="AL88" s="122"/>
      <c r="AM88" s="122"/>
      <c r="AN88" s="122"/>
      <c r="AO88" s="137"/>
      <c r="AP88" s="160">
        <f>SUM(V88+L88+B88+AF88)</f>
        <v>42</v>
      </c>
      <c r="AQ88" s="122" t="s">
        <v>29</v>
      </c>
      <c r="AR88" s="122"/>
      <c r="AS88" s="161">
        <f t="shared" si="81"/>
        <v>9046818.134399999</v>
      </c>
      <c r="AT88" s="161">
        <f t="shared" si="81"/>
        <v>9046818.134399999</v>
      </c>
      <c r="AU88" s="161">
        <f t="shared" si="81"/>
        <v>0</v>
      </c>
      <c r="AV88" s="161">
        <f t="shared" si="81"/>
        <v>0</v>
      </c>
      <c r="AW88" s="161">
        <f t="shared" si="82"/>
        <v>0</v>
      </c>
      <c r="AX88" s="161">
        <f t="shared" si="82"/>
        <v>0</v>
      </c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</row>
    <row r="89" spans="1:87" ht="12.75" customHeight="1">
      <c r="A89" s="226" t="s">
        <v>108</v>
      </c>
      <c r="B89" s="36">
        <v>12</v>
      </c>
      <c r="C89" s="7" t="s">
        <v>29</v>
      </c>
      <c r="D89" s="122">
        <v>200000</v>
      </c>
      <c r="E89" s="122">
        <f>SUM(B89*D89)</f>
        <v>2400000</v>
      </c>
      <c r="F89" s="122">
        <f>E89</f>
        <v>2400000</v>
      </c>
      <c r="G89" s="122"/>
      <c r="H89" s="122"/>
      <c r="I89" s="122"/>
      <c r="J89" s="122"/>
      <c r="K89" s="137"/>
      <c r="L89" s="160">
        <v>12</v>
      </c>
      <c r="M89" s="122" t="s">
        <v>29</v>
      </c>
      <c r="N89" s="122">
        <f>D89*1.058</f>
        <v>211600</v>
      </c>
      <c r="O89" s="122">
        <f>SUM(L89*N89)</f>
        <v>2539200</v>
      </c>
      <c r="P89" s="122">
        <f>O89</f>
        <v>2539200</v>
      </c>
      <c r="Q89" s="122"/>
      <c r="R89" s="122"/>
      <c r="S89" s="122"/>
      <c r="T89" s="122"/>
      <c r="U89" s="137"/>
      <c r="V89" s="160">
        <v>12</v>
      </c>
      <c r="W89" s="122" t="s">
        <v>29</v>
      </c>
      <c r="X89" s="122">
        <f>N89*1.058</f>
        <v>223872.80000000002</v>
      </c>
      <c r="Y89" s="122">
        <f>SUM(V89*X89)</f>
        <v>2686473.6</v>
      </c>
      <c r="Z89" s="122">
        <f>Y89</f>
        <v>2686473.6</v>
      </c>
      <c r="AA89" s="122"/>
      <c r="AB89" s="122"/>
      <c r="AC89" s="122"/>
      <c r="AD89" s="122"/>
      <c r="AE89" s="137"/>
      <c r="AF89" s="160">
        <v>6</v>
      </c>
      <c r="AG89" s="122" t="s">
        <v>29</v>
      </c>
      <c r="AH89" s="122">
        <f>X89*1.058</f>
        <v>236857.42240000004</v>
      </c>
      <c r="AI89" s="122">
        <f>SUM(AF89*AH89)</f>
        <v>1421144.5344000002</v>
      </c>
      <c r="AJ89" s="122">
        <f>AI89</f>
        <v>1421144.5344000002</v>
      </c>
      <c r="AK89" s="122"/>
      <c r="AL89" s="122"/>
      <c r="AM89" s="122"/>
      <c r="AN89" s="122"/>
      <c r="AO89" s="137"/>
      <c r="AP89" s="160">
        <f>SUM(V89+L89+B89+AF89)</f>
        <v>42</v>
      </c>
      <c r="AQ89" s="122" t="s">
        <v>29</v>
      </c>
      <c r="AR89" s="122"/>
      <c r="AS89" s="161">
        <f t="shared" si="81"/>
        <v>9046818.134399999</v>
      </c>
      <c r="AT89" s="161">
        <f t="shared" si="81"/>
        <v>9046818.134399999</v>
      </c>
      <c r="AU89" s="161">
        <f t="shared" si="81"/>
        <v>0</v>
      </c>
      <c r="AV89" s="161">
        <f t="shared" si="81"/>
        <v>0</v>
      </c>
      <c r="AW89" s="161">
        <f t="shared" si="82"/>
        <v>0</v>
      </c>
      <c r="AX89" s="161">
        <f t="shared" si="82"/>
        <v>0</v>
      </c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ht="12.75" customHeight="1">
      <c r="A90" s="21" t="s">
        <v>49</v>
      </c>
      <c r="B90" s="31"/>
      <c r="C90" s="31"/>
      <c r="D90" s="180"/>
      <c r="E90" s="163">
        <f aca="true" t="shared" si="83" ref="E90:J90">SUM(E85:E89)</f>
        <v>19200000</v>
      </c>
      <c r="F90" s="163">
        <f t="shared" si="83"/>
        <v>19200000</v>
      </c>
      <c r="G90" s="163">
        <f t="shared" si="83"/>
        <v>0</v>
      </c>
      <c r="H90" s="163">
        <f t="shared" si="83"/>
        <v>0</v>
      </c>
      <c r="I90" s="163">
        <f t="shared" si="83"/>
        <v>0</v>
      </c>
      <c r="J90" s="163">
        <f t="shared" si="83"/>
        <v>0</v>
      </c>
      <c r="K90" s="137"/>
      <c r="L90" s="180"/>
      <c r="M90" s="180"/>
      <c r="N90" s="180"/>
      <c r="O90" s="163">
        <f aca="true" t="shared" si="84" ref="O90:T90">SUM(O85:O89)</f>
        <v>20317078.356164385</v>
      </c>
      <c r="P90" s="163">
        <f t="shared" si="84"/>
        <v>20317078.356164385</v>
      </c>
      <c r="Q90" s="163">
        <f t="shared" si="84"/>
        <v>0</v>
      </c>
      <c r="R90" s="163">
        <f t="shared" si="84"/>
        <v>0</v>
      </c>
      <c r="S90" s="163">
        <f t="shared" si="84"/>
        <v>0</v>
      </c>
      <c r="T90" s="163">
        <f t="shared" si="84"/>
        <v>0</v>
      </c>
      <c r="U90" s="137"/>
      <c r="V90" s="180"/>
      <c r="W90" s="180"/>
      <c r="X90" s="180"/>
      <c r="Y90" s="163">
        <f aca="true" t="shared" si="85" ref="Y90:AD90">SUM(Y85:Y89)</f>
        <v>16122521.700821918</v>
      </c>
      <c r="Z90" s="163">
        <f t="shared" si="85"/>
        <v>16122521.700821918</v>
      </c>
      <c r="AA90" s="163">
        <f t="shared" si="85"/>
        <v>0</v>
      </c>
      <c r="AB90" s="163">
        <f t="shared" si="85"/>
        <v>0</v>
      </c>
      <c r="AC90" s="163">
        <f t="shared" si="85"/>
        <v>0</v>
      </c>
      <c r="AD90" s="163">
        <f t="shared" si="85"/>
        <v>0</v>
      </c>
      <c r="AE90" s="137"/>
      <c r="AF90" s="180"/>
      <c r="AG90" s="180"/>
      <c r="AH90" s="180"/>
      <c r="AI90" s="163">
        <f aca="true" t="shared" si="86" ref="AI90:AN90">SUM(AI85:AI89)</f>
        <v>8528813.979734797</v>
      </c>
      <c r="AJ90" s="163">
        <f t="shared" si="86"/>
        <v>8528813.979734797</v>
      </c>
      <c r="AK90" s="163">
        <f t="shared" si="86"/>
        <v>0</v>
      </c>
      <c r="AL90" s="163">
        <f t="shared" si="86"/>
        <v>0</v>
      </c>
      <c r="AM90" s="163">
        <f t="shared" si="86"/>
        <v>0</v>
      </c>
      <c r="AN90" s="163">
        <f t="shared" si="86"/>
        <v>0</v>
      </c>
      <c r="AO90" s="137"/>
      <c r="AP90" s="180"/>
      <c r="AQ90" s="180"/>
      <c r="AR90" s="180"/>
      <c r="AS90" s="164">
        <f aca="true" t="shared" si="87" ref="AS90:AX90">SUM(AS85:AS89)</f>
        <v>64168414.03672108</v>
      </c>
      <c r="AT90" s="163">
        <f t="shared" si="87"/>
        <v>64168414.03672108</v>
      </c>
      <c r="AU90" s="163">
        <f t="shared" si="87"/>
        <v>0</v>
      </c>
      <c r="AV90" s="163">
        <f t="shared" si="87"/>
        <v>0</v>
      </c>
      <c r="AW90" s="163">
        <f t="shared" si="87"/>
        <v>0</v>
      </c>
      <c r="AX90" s="163">
        <f t="shared" si="87"/>
        <v>0</v>
      </c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/>
      <c r="BN90" s="388"/>
      <c r="BO90" s="388"/>
      <c r="BP90" s="388"/>
      <c r="BQ90" s="388"/>
      <c r="BR90" s="388"/>
      <c r="BS90" s="388"/>
      <c r="BT90" s="388"/>
      <c r="BU90" s="388"/>
      <c r="BV90" s="388"/>
      <c r="BW90" s="388"/>
      <c r="BX90" s="388"/>
      <c r="BY90" s="388"/>
      <c r="BZ90" s="388"/>
      <c r="CA90" s="388"/>
      <c r="CB90" s="388"/>
      <c r="CC90" s="388"/>
      <c r="CD90" s="388"/>
      <c r="CE90" s="388"/>
      <c r="CF90" s="388"/>
      <c r="CG90" s="388"/>
      <c r="CH90" s="388"/>
      <c r="CI90" s="388"/>
    </row>
    <row r="91" spans="1:87" ht="20.25" customHeight="1">
      <c r="A91" s="15"/>
      <c r="B91" s="34"/>
      <c r="C91" s="34"/>
      <c r="D91" s="151"/>
      <c r="E91" s="151"/>
      <c r="F91" s="152"/>
      <c r="G91" s="152"/>
      <c r="H91" s="152"/>
      <c r="I91" s="152"/>
      <c r="J91" s="152"/>
      <c r="K91" s="137"/>
      <c r="L91" s="174"/>
      <c r="M91" s="174"/>
      <c r="N91" s="182"/>
      <c r="O91" s="162"/>
      <c r="P91" s="182"/>
      <c r="Q91" s="182"/>
      <c r="R91" s="182"/>
      <c r="S91" s="182"/>
      <c r="T91" s="183"/>
      <c r="U91" s="137"/>
      <c r="V91" s="174"/>
      <c r="W91" s="174"/>
      <c r="X91" s="182"/>
      <c r="Y91" s="162"/>
      <c r="Z91" s="182"/>
      <c r="AA91" s="182"/>
      <c r="AB91" s="182"/>
      <c r="AC91" s="182"/>
      <c r="AD91" s="183"/>
      <c r="AE91" s="137"/>
      <c r="AF91" s="174"/>
      <c r="AG91" s="174"/>
      <c r="AH91" s="182"/>
      <c r="AI91" s="162"/>
      <c r="AJ91" s="182"/>
      <c r="AK91" s="182"/>
      <c r="AL91" s="182"/>
      <c r="AM91" s="182"/>
      <c r="AN91" s="183"/>
      <c r="AO91" s="137"/>
      <c r="AP91" s="125"/>
      <c r="AQ91" s="125"/>
      <c r="AR91" s="123"/>
      <c r="AS91" s="123"/>
      <c r="AT91" s="169"/>
      <c r="AU91" s="170"/>
      <c r="AV91" s="170"/>
      <c r="AW91" s="170"/>
      <c r="AX91" s="171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/>
      <c r="BN91" s="388"/>
      <c r="BO91" s="388"/>
      <c r="BP91" s="388"/>
      <c r="BQ91" s="388"/>
      <c r="BR91" s="388"/>
      <c r="BS91" s="388"/>
      <c r="BT91" s="388"/>
      <c r="BU91" s="388"/>
      <c r="BV91" s="388"/>
      <c r="BW91" s="388"/>
      <c r="BX91" s="388"/>
      <c r="BY91" s="388"/>
      <c r="BZ91" s="388"/>
      <c r="CA91" s="388"/>
      <c r="CB91" s="388"/>
      <c r="CC91" s="388"/>
      <c r="CD91" s="388"/>
      <c r="CE91" s="388"/>
      <c r="CF91" s="388"/>
      <c r="CG91" s="388"/>
      <c r="CH91" s="388"/>
      <c r="CI91" s="388"/>
    </row>
    <row r="92" spans="1:87" ht="15.75">
      <c r="A92" s="35" t="s">
        <v>47</v>
      </c>
      <c r="B92" s="397"/>
      <c r="C92" s="398"/>
      <c r="D92" s="398"/>
      <c r="E92" s="398"/>
      <c r="F92" s="398"/>
      <c r="G92" s="398"/>
      <c r="H92" s="398"/>
      <c r="I92" s="398"/>
      <c r="J92" s="399"/>
      <c r="K92" s="137"/>
      <c r="L92" s="389"/>
      <c r="M92" s="390"/>
      <c r="N92" s="390"/>
      <c r="O92" s="390"/>
      <c r="P92" s="390"/>
      <c r="Q92" s="390"/>
      <c r="R92" s="390"/>
      <c r="S92" s="390"/>
      <c r="T92" s="391"/>
      <c r="U92" s="137"/>
      <c r="V92" s="389"/>
      <c r="W92" s="390"/>
      <c r="X92" s="390"/>
      <c r="Y92" s="390"/>
      <c r="Z92" s="390"/>
      <c r="AA92" s="390"/>
      <c r="AB92" s="390"/>
      <c r="AC92" s="390"/>
      <c r="AD92" s="391"/>
      <c r="AE92" s="137"/>
      <c r="AF92" s="172"/>
      <c r="AG92" s="173"/>
      <c r="AH92" s="173"/>
      <c r="AI92" s="173"/>
      <c r="AJ92" s="173"/>
      <c r="AK92" s="173"/>
      <c r="AL92" s="173"/>
      <c r="AM92" s="173"/>
      <c r="AN92" s="173"/>
      <c r="AO92" s="137"/>
      <c r="AP92" s="165"/>
      <c r="AQ92" s="165"/>
      <c r="AR92" s="166"/>
      <c r="AS92" s="166"/>
      <c r="AT92" s="190"/>
      <c r="AU92" s="161"/>
      <c r="AV92" s="161"/>
      <c r="AW92" s="161"/>
      <c r="AX92" s="191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/>
      <c r="BN92" s="388"/>
      <c r="BO92" s="388"/>
      <c r="BP92" s="388"/>
      <c r="BQ92" s="388"/>
      <c r="BR92" s="388"/>
      <c r="BS92" s="388"/>
      <c r="BT92" s="388"/>
      <c r="BU92" s="388"/>
      <c r="BV92" s="388"/>
      <c r="BW92" s="388"/>
      <c r="BX92" s="388"/>
      <c r="BY92" s="388"/>
      <c r="BZ92" s="388"/>
      <c r="CA92" s="388"/>
      <c r="CB92" s="388"/>
      <c r="CC92" s="388"/>
      <c r="CD92" s="388"/>
      <c r="CE92" s="388"/>
      <c r="CF92" s="388"/>
      <c r="CG92" s="388"/>
      <c r="CH92" s="388"/>
      <c r="CI92" s="388"/>
    </row>
    <row r="93" spans="1:87" ht="19.5" customHeight="1">
      <c r="A93" s="29" t="s">
        <v>182</v>
      </c>
      <c r="B93" s="36">
        <f>2000*2*18</f>
        <v>72000</v>
      </c>
      <c r="C93" s="53" t="s">
        <v>96</v>
      </c>
      <c r="D93" s="194">
        <v>11000</v>
      </c>
      <c r="E93" s="194">
        <f>+B93*D93</f>
        <v>792000000</v>
      </c>
      <c r="F93" s="122">
        <f>E93</f>
        <v>792000000</v>
      </c>
      <c r="G93" s="122"/>
      <c r="H93" s="122"/>
      <c r="J93" s="122"/>
      <c r="K93" s="195"/>
      <c r="L93" s="36">
        <f>2000*2*18</f>
        <v>72000</v>
      </c>
      <c r="M93" s="122" t="s">
        <v>96</v>
      </c>
      <c r="N93" s="194">
        <f>+D93*1.058</f>
        <v>11638</v>
      </c>
      <c r="O93" s="122">
        <f>+L93*N93</f>
        <v>837936000</v>
      </c>
      <c r="P93" s="122">
        <f>O93</f>
        <v>837936000</v>
      </c>
      <c r="Q93" s="122"/>
      <c r="R93" s="122"/>
      <c r="T93" s="122"/>
      <c r="U93" s="195"/>
      <c r="V93" s="36">
        <f>2000*2*18</f>
        <v>72000</v>
      </c>
      <c r="W93" s="122" t="s">
        <v>96</v>
      </c>
      <c r="X93" s="122">
        <f>+N93*1.058</f>
        <v>12313.004</v>
      </c>
      <c r="Y93" s="122">
        <f>+V93*X93</f>
        <v>886536288</v>
      </c>
      <c r="Z93" s="122">
        <f>Y93</f>
        <v>886536288</v>
      </c>
      <c r="AA93" s="122"/>
      <c r="AB93" s="122"/>
      <c r="AC93" s="122"/>
      <c r="AD93" s="159"/>
      <c r="AE93" s="195"/>
      <c r="AF93" s="160">
        <v>600</v>
      </c>
      <c r="AG93" s="122" t="s">
        <v>96</v>
      </c>
      <c r="AH93" s="122">
        <f>+X93*1.058</f>
        <v>13027.158232000002</v>
      </c>
      <c r="AI93" s="122">
        <f>+AF93*AH93</f>
        <v>7816294.939200001</v>
      </c>
      <c r="AJ93" s="122">
        <f>AI93</f>
        <v>7816294.939200001</v>
      </c>
      <c r="AK93" s="122"/>
      <c r="AL93" s="122"/>
      <c r="AM93" s="122"/>
      <c r="AN93" s="159"/>
      <c r="AO93" s="195"/>
      <c r="AP93" s="160">
        <f>SUM(V93+L93+B93+AF93)</f>
        <v>216600</v>
      </c>
      <c r="AQ93" s="122" t="s">
        <v>96</v>
      </c>
      <c r="AR93" s="196"/>
      <c r="AS93" s="161">
        <f aca="true" t="shared" si="88" ref="AS93:AX93">SUM(Y93+O93+E93+AI93)</f>
        <v>2524288582.9392</v>
      </c>
      <c r="AT93" s="161">
        <f>+AS93</f>
        <v>2524288582.9392</v>
      </c>
      <c r="AU93" s="161">
        <f t="shared" si="88"/>
        <v>0</v>
      </c>
      <c r="AV93" s="161">
        <f t="shared" si="88"/>
        <v>0</v>
      </c>
      <c r="AW93" s="161">
        <v>0</v>
      </c>
      <c r="AX93" s="161">
        <f t="shared" si="88"/>
        <v>0</v>
      </c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</row>
    <row r="94" spans="1:87" ht="12.75" customHeight="1">
      <c r="A94" s="21" t="s">
        <v>48</v>
      </c>
      <c r="B94" s="31"/>
      <c r="C94" s="31"/>
      <c r="D94" s="180">
        <f>SUM(D93)</f>
        <v>11000</v>
      </c>
      <c r="E94" s="163">
        <f aca="true" t="shared" si="89" ref="E94:J94">SUM(E93:E93)</f>
        <v>792000000</v>
      </c>
      <c r="F94" s="163">
        <f>SUM(F93)</f>
        <v>792000000</v>
      </c>
      <c r="G94" s="163">
        <f t="shared" si="89"/>
        <v>0</v>
      </c>
      <c r="H94" s="163">
        <f t="shared" si="89"/>
        <v>0</v>
      </c>
      <c r="I94" s="163">
        <v>0</v>
      </c>
      <c r="J94" s="163">
        <f t="shared" si="89"/>
        <v>0</v>
      </c>
      <c r="K94" s="137"/>
      <c r="L94" s="180"/>
      <c r="M94" s="180"/>
      <c r="N94" s="180"/>
      <c r="O94" s="163">
        <f aca="true" t="shared" si="90" ref="O94:T94">SUM(O93:O93)</f>
        <v>837936000</v>
      </c>
      <c r="P94" s="163">
        <f>SUM(P93)</f>
        <v>837936000</v>
      </c>
      <c r="Q94" s="163">
        <f t="shared" si="90"/>
        <v>0</v>
      </c>
      <c r="R94" s="163">
        <f t="shared" si="90"/>
        <v>0</v>
      </c>
      <c r="S94" s="163">
        <v>0</v>
      </c>
      <c r="T94" s="163">
        <f t="shared" si="90"/>
        <v>0</v>
      </c>
      <c r="U94" s="137"/>
      <c r="V94" s="180"/>
      <c r="W94" s="180"/>
      <c r="X94" s="180"/>
      <c r="Y94" s="163">
        <f aca="true" t="shared" si="91" ref="Y94:AD94">SUM(Y93:Y93)</f>
        <v>886536288</v>
      </c>
      <c r="Z94" s="163">
        <f>SUM(Z93:Z93)</f>
        <v>886536288</v>
      </c>
      <c r="AA94" s="163">
        <f t="shared" si="91"/>
        <v>0</v>
      </c>
      <c r="AB94" s="163">
        <f t="shared" si="91"/>
        <v>0</v>
      </c>
      <c r="AC94" s="163">
        <f>SUM(AC93:AC93)</f>
        <v>0</v>
      </c>
      <c r="AD94" s="163">
        <f t="shared" si="91"/>
        <v>0</v>
      </c>
      <c r="AE94" s="137"/>
      <c r="AF94" s="180"/>
      <c r="AG94" s="180"/>
      <c r="AH94" s="180"/>
      <c r="AI94" s="163">
        <f>SUM(AI93)</f>
        <v>7816294.939200001</v>
      </c>
      <c r="AJ94" s="163">
        <f>SUM(AJ93:AJ93)</f>
        <v>7816294.939200001</v>
      </c>
      <c r="AK94" s="163">
        <f>SUM(AK93:AK93)</f>
        <v>0</v>
      </c>
      <c r="AL94" s="163">
        <f>SUM(AL93:AL93)</f>
        <v>0</v>
      </c>
      <c r="AM94" s="163">
        <f>SUM(AM93:AM93)</f>
        <v>0</v>
      </c>
      <c r="AN94" s="163">
        <f>SUM(AN93:AN93)</f>
        <v>0</v>
      </c>
      <c r="AO94" s="137"/>
      <c r="AP94" s="180"/>
      <c r="AQ94" s="180"/>
      <c r="AR94" s="180"/>
      <c r="AS94" s="164">
        <f aca="true" t="shared" si="92" ref="AS94:AX94">SUM(AS93:AS93)</f>
        <v>2524288582.9392</v>
      </c>
      <c r="AT94" s="163">
        <f t="shared" si="92"/>
        <v>2524288582.9392</v>
      </c>
      <c r="AU94" s="163">
        <f t="shared" si="92"/>
        <v>0</v>
      </c>
      <c r="AV94" s="163">
        <f t="shared" si="92"/>
        <v>0</v>
      </c>
      <c r="AW94" s="163">
        <f t="shared" si="92"/>
        <v>0</v>
      </c>
      <c r="AX94" s="163">
        <f t="shared" si="92"/>
        <v>0</v>
      </c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/>
      <c r="BN94" s="388"/>
      <c r="BO94" s="388"/>
      <c r="BP94" s="388"/>
      <c r="BQ94" s="388"/>
      <c r="BR94" s="388"/>
      <c r="BS94" s="388"/>
      <c r="BT94" s="388"/>
      <c r="BU94" s="388"/>
      <c r="BV94" s="388"/>
      <c r="BW94" s="388"/>
      <c r="BX94" s="388"/>
      <c r="BY94" s="388"/>
      <c r="BZ94" s="388"/>
      <c r="CA94" s="388"/>
      <c r="CB94" s="388"/>
      <c r="CC94" s="388"/>
      <c r="CD94" s="388"/>
      <c r="CE94" s="388"/>
      <c r="CF94" s="388"/>
      <c r="CG94" s="388"/>
      <c r="CH94" s="388"/>
      <c r="CI94" s="388"/>
    </row>
    <row r="95" spans="1:87" ht="4.5" customHeight="1">
      <c r="A95" s="15"/>
      <c r="B95" s="34"/>
      <c r="C95" s="34"/>
      <c r="D95" s="151"/>
      <c r="E95" s="151"/>
      <c r="F95" s="152"/>
      <c r="G95" s="152"/>
      <c r="H95" s="152"/>
      <c r="I95" s="152"/>
      <c r="J95" s="152"/>
      <c r="K95" s="137"/>
      <c r="L95" s="174"/>
      <c r="M95" s="174"/>
      <c r="N95" s="182"/>
      <c r="O95" s="162"/>
      <c r="P95" s="182"/>
      <c r="Q95" s="182"/>
      <c r="R95" s="182"/>
      <c r="S95" s="182"/>
      <c r="T95" s="183"/>
      <c r="U95" s="137"/>
      <c r="V95" s="174"/>
      <c r="W95" s="174"/>
      <c r="X95" s="182"/>
      <c r="Y95" s="162"/>
      <c r="Z95" s="182"/>
      <c r="AA95" s="182"/>
      <c r="AB95" s="182"/>
      <c r="AC95" s="182"/>
      <c r="AD95" s="183"/>
      <c r="AE95" s="137"/>
      <c r="AF95" s="174"/>
      <c r="AG95" s="174"/>
      <c r="AH95" s="182"/>
      <c r="AI95" s="162"/>
      <c r="AJ95" s="182"/>
      <c r="AK95" s="182"/>
      <c r="AL95" s="182"/>
      <c r="AM95" s="182"/>
      <c r="AN95" s="183"/>
      <c r="AO95" s="137"/>
      <c r="AP95" s="125"/>
      <c r="AQ95" s="125"/>
      <c r="AR95" s="123"/>
      <c r="AS95" s="123"/>
      <c r="AT95" s="169"/>
      <c r="AU95" s="170"/>
      <c r="AV95" s="170"/>
      <c r="AW95" s="170"/>
      <c r="AX95" s="171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/>
      <c r="BN95" s="388"/>
      <c r="BO95" s="388"/>
      <c r="BP95" s="388"/>
      <c r="BQ95" s="388"/>
      <c r="BR95" s="388"/>
      <c r="BS95" s="388"/>
      <c r="BT95" s="388"/>
      <c r="BU95" s="388"/>
      <c r="BV95" s="388"/>
      <c r="BW95" s="388"/>
      <c r="BX95" s="388"/>
      <c r="BY95" s="388"/>
      <c r="BZ95" s="388"/>
      <c r="CA95" s="388"/>
      <c r="CB95" s="388"/>
      <c r="CC95" s="388"/>
      <c r="CD95" s="388"/>
      <c r="CE95" s="388"/>
      <c r="CF95" s="388"/>
      <c r="CG95" s="388"/>
      <c r="CH95" s="388"/>
      <c r="CI95" s="388"/>
    </row>
    <row r="96" spans="1:87" ht="15.75">
      <c r="A96" s="37" t="s">
        <v>109</v>
      </c>
      <c r="B96" s="397"/>
      <c r="C96" s="398"/>
      <c r="D96" s="398"/>
      <c r="E96" s="398"/>
      <c r="F96" s="398"/>
      <c r="G96" s="398"/>
      <c r="H96" s="398"/>
      <c r="I96" s="398"/>
      <c r="J96" s="399"/>
      <c r="K96" s="137"/>
      <c r="L96" s="165"/>
      <c r="M96" s="165"/>
      <c r="N96" s="166"/>
      <c r="O96" s="166"/>
      <c r="P96" s="166"/>
      <c r="Q96" s="122"/>
      <c r="R96" s="122"/>
      <c r="S96" s="122"/>
      <c r="T96" s="185"/>
      <c r="U96" s="137"/>
      <c r="V96" s="165"/>
      <c r="W96" s="165"/>
      <c r="X96" s="166"/>
      <c r="Y96" s="166"/>
      <c r="Z96" s="166"/>
      <c r="AA96" s="122"/>
      <c r="AB96" s="122"/>
      <c r="AC96" s="122"/>
      <c r="AD96" s="185"/>
      <c r="AE96" s="137"/>
      <c r="AF96" s="165"/>
      <c r="AG96" s="165"/>
      <c r="AH96" s="166"/>
      <c r="AI96" s="166"/>
      <c r="AJ96" s="166"/>
      <c r="AK96" s="122"/>
      <c r="AL96" s="122"/>
      <c r="AM96" s="122"/>
      <c r="AN96" s="185"/>
      <c r="AO96" s="137"/>
      <c r="AP96" s="165"/>
      <c r="AQ96" s="165"/>
      <c r="AR96" s="166"/>
      <c r="AS96" s="166"/>
      <c r="AT96" s="190"/>
      <c r="AU96" s="161"/>
      <c r="AV96" s="161"/>
      <c r="AW96" s="161"/>
      <c r="AX96" s="191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/>
      <c r="BN96" s="388"/>
      <c r="BO96" s="388"/>
      <c r="BP96" s="388"/>
      <c r="BQ96" s="388"/>
      <c r="BR96" s="388"/>
      <c r="BS96" s="388"/>
      <c r="BT96" s="388"/>
      <c r="BU96" s="388"/>
      <c r="BV96" s="388"/>
      <c r="BW96" s="388"/>
      <c r="BX96" s="388"/>
      <c r="BY96" s="388"/>
      <c r="BZ96" s="388"/>
      <c r="CA96" s="388"/>
      <c r="CB96" s="388"/>
      <c r="CC96" s="388"/>
      <c r="CD96" s="388"/>
      <c r="CE96" s="388"/>
      <c r="CF96" s="388"/>
      <c r="CG96" s="388"/>
      <c r="CH96" s="388"/>
      <c r="CI96" s="388"/>
    </row>
    <row r="97" spans="1:87" ht="12.75" customHeight="1">
      <c r="A97" s="29" t="s">
        <v>22</v>
      </c>
      <c r="B97" s="36">
        <v>2000</v>
      </c>
      <c r="C97" s="53" t="s">
        <v>103</v>
      </c>
      <c r="D97" s="194">
        <f>9500*2</f>
        <v>19000</v>
      </c>
      <c r="E97" s="194">
        <f>SUM(B97*D97)</f>
        <v>38000000</v>
      </c>
      <c r="F97" s="122"/>
      <c r="G97" s="122"/>
      <c r="H97" s="122"/>
      <c r="I97" s="122">
        <f>E97</f>
        <v>38000000</v>
      </c>
      <c r="J97" s="122"/>
      <c r="K97" s="195"/>
      <c r="L97" s="36">
        <v>2000</v>
      </c>
      <c r="M97" s="53" t="s">
        <v>103</v>
      </c>
      <c r="N97" s="194">
        <f>9500*2*1.058</f>
        <v>20102</v>
      </c>
      <c r="O97" s="194">
        <f>SUM(L97*N97)</f>
        <v>40204000</v>
      </c>
      <c r="P97" s="122"/>
      <c r="Q97" s="122"/>
      <c r="R97" s="122"/>
      <c r="S97" s="122">
        <f>O97</f>
        <v>40204000</v>
      </c>
      <c r="T97" s="122"/>
      <c r="U97" s="195"/>
      <c r="V97" s="36">
        <v>2000</v>
      </c>
      <c r="W97" s="53" t="s">
        <v>103</v>
      </c>
      <c r="X97" s="194">
        <f>+N97*1.058</f>
        <v>21267.916</v>
      </c>
      <c r="Y97" s="194">
        <f>SUM(V97*X97)</f>
        <v>42535832</v>
      </c>
      <c r="Z97" s="122"/>
      <c r="AA97" s="122"/>
      <c r="AB97" s="122"/>
      <c r="AC97" s="122">
        <f>Y97</f>
        <v>42535832</v>
      </c>
      <c r="AD97" s="159"/>
      <c r="AE97" s="195"/>
      <c r="AF97" s="36">
        <v>600</v>
      </c>
      <c r="AG97" s="53" t="s">
        <v>103</v>
      </c>
      <c r="AH97" s="194">
        <f>+X97*1.058</f>
        <v>22501.455128</v>
      </c>
      <c r="AI97" s="194">
        <f>SUM(AF97*AH97)</f>
        <v>13500873.0768</v>
      </c>
      <c r="AJ97" s="122"/>
      <c r="AK97" s="122"/>
      <c r="AL97" s="122"/>
      <c r="AM97" s="122">
        <f>AI97</f>
        <v>13500873.0768</v>
      </c>
      <c r="AN97" s="159"/>
      <c r="AO97" s="195"/>
      <c r="AP97" s="160">
        <f>SUM(V97+L97+B97+AF97)</f>
        <v>6600</v>
      </c>
      <c r="AQ97" s="122" t="s">
        <v>29</v>
      </c>
      <c r="AR97" s="196"/>
      <c r="AS97" s="161">
        <f aca="true" t="shared" si="93" ref="AS97:AX99">SUM(Y97+O97+E97+AI97)</f>
        <v>134240705.0768</v>
      </c>
      <c r="AT97" s="161">
        <f t="shared" si="93"/>
        <v>0</v>
      </c>
      <c r="AU97" s="161">
        <f t="shared" si="93"/>
        <v>0</v>
      </c>
      <c r="AV97" s="161">
        <f t="shared" si="93"/>
        <v>0</v>
      </c>
      <c r="AW97" s="161">
        <f t="shared" si="93"/>
        <v>134240705.0768</v>
      </c>
      <c r="AX97" s="161">
        <f t="shared" si="93"/>
        <v>0</v>
      </c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</row>
    <row r="98" spans="1:87" ht="12.75" customHeight="1">
      <c r="A98" s="29" t="s">
        <v>228</v>
      </c>
      <c r="B98" s="36"/>
      <c r="C98" s="53"/>
      <c r="D98" s="194"/>
      <c r="E98" s="194"/>
      <c r="F98" s="122"/>
      <c r="G98" s="122"/>
      <c r="H98" s="122"/>
      <c r="I98" s="122"/>
      <c r="J98" s="122"/>
      <c r="K98" s="195"/>
      <c r="L98" s="36"/>
      <c r="M98" s="53"/>
      <c r="N98" s="194"/>
      <c r="O98" s="194"/>
      <c r="P98" s="122"/>
      <c r="Q98" s="122"/>
      <c r="R98" s="122"/>
      <c r="S98" s="122"/>
      <c r="T98" s="159"/>
      <c r="U98" s="195"/>
      <c r="V98" s="36">
        <v>1400</v>
      </c>
      <c r="W98" s="53"/>
      <c r="X98" s="194">
        <v>280000</v>
      </c>
      <c r="Y98" s="194">
        <f>+V98*X98</f>
        <v>392000000</v>
      </c>
      <c r="Z98" s="122">
        <f>+Y98</f>
        <v>392000000</v>
      </c>
      <c r="AA98" s="122"/>
      <c r="AB98" s="122"/>
      <c r="AC98" s="122"/>
      <c r="AD98" s="159"/>
      <c r="AE98" s="195"/>
      <c r="AF98" s="36">
        <v>600</v>
      </c>
      <c r="AG98" s="53"/>
      <c r="AH98" s="194">
        <f>280000*1.058</f>
        <v>296240</v>
      </c>
      <c r="AI98" s="194">
        <f>+AH98*AF98</f>
        <v>177744000</v>
      </c>
      <c r="AJ98" s="122">
        <f>+AI98</f>
        <v>177744000</v>
      </c>
      <c r="AK98" s="122"/>
      <c r="AL98" s="122"/>
      <c r="AM98" s="122"/>
      <c r="AN98" s="159"/>
      <c r="AO98" s="195"/>
      <c r="AP98" s="160"/>
      <c r="AQ98" s="122"/>
      <c r="AR98" s="196"/>
      <c r="AS98" s="161"/>
      <c r="AT98" s="161"/>
      <c r="AU98" s="161"/>
      <c r="AV98" s="161"/>
      <c r="AW98" s="161"/>
      <c r="AX98" s="16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</row>
    <row r="99" spans="1:87" ht="12.75" customHeight="1">
      <c r="A99" s="29" t="s">
        <v>178</v>
      </c>
      <c r="B99" s="36"/>
      <c r="C99" s="7"/>
      <c r="D99" s="160"/>
      <c r="E99" s="194">
        <f>15000000+63320506</f>
        <v>78320506</v>
      </c>
      <c r="F99" s="122"/>
      <c r="G99" s="122"/>
      <c r="H99" s="122"/>
      <c r="I99" s="122">
        <f>+E99</f>
        <v>78320506</v>
      </c>
      <c r="J99" s="122"/>
      <c r="K99" s="137"/>
      <c r="L99" s="160"/>
      <c r="M99" s="122" t="s">
        <v>146</v>
      </c>
      <c r="N99" s="194"/>
      <c r="O99" s="122">
        <f>SUM(L99*N99)</f>
        <v>0</v>
      </c>
      <c r="P99" s="122"/>
      <c r="Q99" s="122"/>
      <c r="R99" s="122"/>
      <c r="S99" s="122">
        <f>O99</f>
        <v>0</v>
      </c>
      <c r="T99" s="185"/>
      <c r="U99" s="137"/>
      <c r="V99" s="160">
        <v>105</v>
      </c>
      <c r="W99" s="122" t="s">
        <v>146</v>
      </c>
      <c r="X99" s="194">
        <f>N99*1.058</f>
        <v>0</v>
      </c>
      <c r="Y99" s="122">
        <f>SUM(V99*X99)</f>
        <v>0</v>
      </c>
      <c r="Z99" s="122"/>
      <c r="AA99" s="122"/>
      <c r="AB99" s="122"/>
      <c r="AC99" s="122">
        <f>Y99</f>
        <v>0</v>
      </c>
      <c r="AD99" s="185"/>
      <c r="AE99" s="137"/>
      <c r="AF99" s="160">
        <v>315</v>
      </c>
      <c r="AG99" s="122" t="s">
        <v>146</v>
      </c>
      <c r="AH99" s="194">
        <f>X99*1.058</f>
        <v>0</v>
      </c>
      <c r="AI99" s="122">
        <f>SUM(AF99*AH99)</f>
        <v>0</v>
      </c>
      <c r="AJ99" s="122"/>
      <c r="AK99" s="122"/>
      <c r="AL99" s="122"/>
      <c r="AM99" s="122">
        <f>AI99</f>
        <v>0</v>
      </c>
      <c r="AN99" s="185"/>
      <c r="AO99" s="137"/>
      <c r="AP99" s="160">
        <f>SUM(V99+L99+B99+AF99)</f>
        <v>420</v>
      </c>
      <c r="AQ99" s="179" t="s">
        <v>146</v>
      </c>
      <c r="AR99" s="122"/>
      <c r="AS99" s="161">
        <f t="shared" si="93"/>
        <v>78320506</v>
      </c>
      <c r="AT99" s="161">
        <f t="shared" si="93"/>
        <v>0</v>
      </c>
      <c r="AU99" s="161">
        <f t="shared" si="93"/>
        <v>0</v>
      </c>
      <c r="AV99" s="161">
        <f t="shared" si="93"/>
        <v>0</v>
      </c>
      <c r="AW99" s="161">
        <f t="shared" si="93"/>
        <v>78320506</v>
      </c>
      <c r="AX99" s="161">
        <f t="shared" si="93"/>
        <v>0</v>
      </c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</row>
    <row r="100" spans="1:87" ht="24.75">
      <c r="A100" s="44" t="s">
        <v>66</v>
      </c>
      <c r="B100" s="38"/>
      <c r="C100" s="38"/>
      <c r="D100" s="163"/>
      <c r="E100" s="163">
        <f aca="true" t="shared" si="94" ref="E100:J100">SUM(E97:E99)</f>
        <v>116320506</v>
      </c>
      <c r="F100" s="163">
        <f t="shared" si="94"/>
        <v>0</v>
      </c>
      <c r="G100" s="163">
        <f t="shared" si="94"/>
        <v>0</v>
      </c>
      <c r="H100" s="163">
        <f t="shared" si="94"/>
        <v>0</v>
      </c>
      <c r="I100" s="163">
        <f t="shared" si="94"/>
        <v>116320506</v>
      </c>
      <c r="J100" s="163">
        <f t="shared" si="94"/>
        <v>0</v>
      </c>
      <c r="K100" s="137"/>
      <c r="L100" s="180"/>
      <c r="M100" s="180"/>
      <c r="N100" s="180"/>
      <c r="O100" s="163">
        <f aca="true" t="shared" si="95" ref="O100:T100">SUM(O97:O99)</f>
        <v>40204000</v>
      </c>
      <c r="P100" s="163">
        <f t="shared" si="95"/>
        <v>0</v>
      </c>
      <c r="Q100" s="163">
        <f t="shared" si="95"/>
        <v>0</v>
      </c>
      <c r="R100" s="163">
        <f t="shared" si="95"/>
        <v>0</v>
      </c>
      <c r="S100" s="163">
        <f t="shared" si="95"/>
        <v>40204000</v>
      </c>
      <c r="T100" s="163">
        <f t="shared" si="95"/>
        <v>0</v>
      </c>
      <c r="U100" s="137"/>
      <c r="V100" s="180"/>
      <c r="W100" s="180"/>
      <c r="X100" s="180"/>
      <c r="Y100" s="163">
        <f aca="true" t="shared" si="96" ref="Y100:AD100">SUM(Y97:Y99)</f>
        <v>434535832</v>
      </c>
      <c r="Z100" s="163">
        <f t="shared" si="96"/>
        <v>392000000</v>
      </c>
      <c r="AA100" s="163">
        <f t="shared" si="96"/>
        <v>0</v>
      </c>
      <c r="AB100" s="163">
        <f t="shared" si="96"/>
        <v>0</v>
      </c>
      <c r="AC100" s="163">
        <f t="shared" si="96"/>
        <v>42535832</v>
      </c>
      <c r="AD100" s="163">
        <f t="shared" si="96"/>
        <v>0</v>
      </c>
      <c r="AE100" s="137"/>
      <c r="AF100" s="180"/>
      <c r="AG100" s="180"/>
      <c r="AH100" s="180"/>
      <c r="AI100" s="163">
        <f aca="true" t="shared" si="97" ref="AI100:AN100">SUM(AI97:AI99)</f>
        <v>191244873.0768</v>
      </c>
      <c r="AJ100" s="163">
        <f t="shared" si="97"/>
        <v>177744000</v>
      </c>
      <c r="AK100" s="163">
        <f t="shared" si="97"/>
        <v>0</v>
      </c>
      <c r="AL100" s="163">
        <f t="shared" si="97"/>
        <v>0</v>
      </c>
      <c r="AM100" s="163">
        <f t="shared" si="97"/>
        <v>13500873.0768</v>
      </c>
      <c r="AN100" s="163">
        <f t="shared" si="97"/>
        <v>0</v>
      </c>
      <c r="AO100" s="137"/>
      <c r="AP100" s="163"/>
      <c r="AQ100" s="163"/>
      <c r="AR100" s="163"/>
      <c r="AS100" s="164">
        <f aca="true" t="shared" si="98" ref="AS100:AX100">SUM(AS97:AS99)</f>
        <v>212561211.0768</v>
      </c>
      <c r="AT100" s="163">
        <f t="shared" si="98"/>
        <v>0</v>
      </c>
      <c r="AU100" s="163">
        <f t="shared" si="98"/>
        <v>0</v>
      </c>
      <c r="AV100" s="163">
        <f t="shared" si="98"/>
        <v>0</v>
      </c>
      <c r="AW100" s="163">
        <f t="shared" si="98"/>
        <v>212561211.0768</v>
      </c>
      <c r="AX100" s="163">
        <f t="shared" si="98"/>
        <v>0</v>
      </c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/>
      <c r="BN100" s="388"/>
      <c r="BO100" s="388"/>
      <c r="BP100" s="388"/>
      <c r="BQ100" s="388"/>
      <c r="BR100" s="388"/>
      <c r="BS100" s="388"/>
      <c r="BT100" s="388"/>
      <c r="BU100" s="388"/>
      <c r="BV100" s="388"/>
      <c r="BW100" s="388"/>
      <c r="BX100" s="388"/>
      <c r="BY100" s="388"/>
      <c r="BZ100" s="388"/>
      <c r="CA100" s="388"/>
      <c r="CB100" s="388"/>
      <c r="CC100" s="388"/>
      <c r="CD100" s="388"/>
      <c r="CE100" s="388"/>
      <c r="CF100" s="388"/>
      <c r="CG100" s="388"/>
      <c r="CH100" s="388"/>
      <c r="CI100" s="388"/>
    </row>
    <row r="101" spans="1:87" ht="4.5" customHeight="1">
      <c r="A101" s="15"/>
      <c r="B101" s="34"/>
      <c r="C101" s="34"/>
      <c r="D101" s="151"/>
      <c r="E101" s="151"/>
      <c r="F101" s="152"/>
      <c r="G101" s="152"/>
      <c r="H101" s="152"/>
      <c r="I101" s="152"/>
      <c r="J101" s="152"/>
      <c r="K101" s="137"/>
      <c r="L101" s="174"/>
      <c r="M101" s="174"/>
      <c r="N101" s="182"/>
      <c r="O101" s="162"/>
      <c r="P101" s="182"/>
      <c r="Q101" s="182"/>
      <c r="R101" s="182"/>
      <c r="S101" s="182"/>
      <c r="T101" s="183"/>
      <c r="U101" s="137"/>
      <c r="V101" s="174"/>
      <c r="W101" s="174"/>
      <c r="X101" s="182"/>
      <c r="Y101" s="162"/>
      <c r="Z101" s="182"/>
      <c r="AA101" s="182"/>
      <c r="AB101" s="182"/>
      <c r="AC101" s="182"/>
      <c r="AD101" s="183"/>
      <c r="AE101" s="137"/>
      <c r="AF101" s="174"/>
      <c r="AG101" s="174"/>
      <c r="AH101" s="182"/>
      <c r="AI101" s="162"/>
      <c r="AJ101" s="182"/>
      <c r="AK101" s="182"/>
      <c r="AL101" s="182"/>
      <c r="AM101" s="182"/>
      <c r="AN101" s="183"/>
      <c r="AO101" s="137"/>
      <c r="AP101" s="125"/>
      <c r="AQ101" s="125"/>
      <c r="AR101" s="123"/>
      <c r="AS101" s="123"/>
      <c r="AT101" s="169"/>
      <c r="AU101" s="170"/>
      <c r="AV101" s="170"/>
      <c r="AW101" s="170"/>
      <c r="AX101" s="171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/>
      <c r="BN101" s="388"/>
      <c r="BO101" s="388"/>
      <c r="BP101" s="388"/>
      <c r="BQ101" s="388"/>
      <c r="BR101" s="388"/>
      <c r="BS101" s="388"/>
      <c r="BT101" s="388"/>
      <c r="BU101" s="388"/>
      <c r="BV101" s="388"/>
      <c r="BW101" s="388"/>
      <c r="BX101" s="388"/>
      <c r="BY101" s="388"/>
      <c r="BZ101" s="388"/>
      <c r="CA101" s="388"/>
      <c r="CB101" s="388"/>
      <c r="CC101" s="388"/>
      <c r="CD101" s="388"/>
      <c r="CE101" s="388"/>
      <c r="CF101" s="388"/>
      <c r="CG101" s="388"/>
      <c r="CH101" s="388"/>
      <c r="CI101" s="388"/>
    </row>
    <row r="102" spans="1:87" ht="15.75">
      <c r="A102" s="35" t="s">
        <v>69</v>
      </c>
      <c r="B102" s="397"/>
      <c r="C102" s="398"/>
      <c r="D102" s="398"/>
      <c r="E102" s="398"/>
      <c r="F102" s="398"/>
      <c r="G102" s="398"/>
      <c r="H102" s="398"/>
      <c r="I102" s="398"/>
      <c r="J102" s="399"/>
      <c r="K102" s="137"/>
      <c r="L102" s="165"/>
      <c r="M102" s="165"/>
      <c r="N102" s="166"/>
      <c r="O102" s="166"/>
      <c r="P102" s="166"/>
      <c r="Q102" s="122"/>
      <c r="R102" s="122"/>
      <c r="S102" s="122"/>
      <c r="T102" s="185"/>
      <c r="U102" s="137"/>
      <c r="V102" s="165"/>
      <c r="W102" s="165"/>
      <c r="X102" s="166"/>
      <c r="Y102" s="166"/>
      <c r="Z102" s="166"/>
      <c r="AA102" s="122"/>
      <c r="AB102" s="122"/>
      <c r="AC102" s="122"/>
      <c r="AD102" s="185"/>
      <c r="AE102" s="137"/>
      <c r="AF102" s="165"/>
      <c r="AG102" s="165"/>
      <c r="AH102" s="166"/>
      <c r="AI102" s="166"/>
      <c r="AJ102" s="166"/>
      <c r="AK102" s="122"/>
      <c r="AL102" s="122"/>
      <c r="AM102" s="122"/>
      <c r="AN102" s="185"/>
      <c r="AO102" s="137"/>
      <c r="AP102" s="165"/>
      <c r="AQ102" s="165"/>
      <c r="AR102" s="166"/>
      <c r="AS102" s="166"/>
      <c r="AT102" s="190"/>
      <c r="AU102" s="161"/>
      <c r="AV102" s="161"/>
      <c r="AW102" s="161"/>
      <c r="AX102" s="191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/>
      <c r="BN102" s="388"/>
      <c r="BO102" s="388"/>
      <c r="BP102" s="388"/>
      <c r="BQ102" s="388"/>
      <c r="BR102" s="388"/>
      <c r="BS102" s="388"/>
      <c r="BT102" s="388"/>
      <c r="BU102" s="388"/>
      <c r="BV102" s="388"/>
      <c r="BW102" s="388"/>
      <c r="BX102" s="388"/>
      <c r="BY102" s="388"/>
      <c r="BZ102" s="388"/>
      <c r="CA102" s="388"/>
      <c r="CB102" s="388"/>
      <c r="CC102" s="388"/>
      <c r="CD102" s="388"/>
      <c r="CE102" s="388"/>
      <c r="CF102" s="388"/>
      <c r="CG102" s="388"/>
      <c r="CH102" s="388"/>
      <c r="CI102" s="388"/>
    </row>
    <row r="103" spans="1:87" ht="12.75">
      <c r="A103" s="226" t="s">
        <v>104</v>
      </c>
      <c r="B103" s="36">
        <v>3</v>
      </c>
      <c r="C103" s="53" t="s">
        <v>110</v>
      </c>
      <c r="D103" s="194">
        <f>(2000000)</f>
        <v>2000000</v>
      </c>
      <c r="E103" s="194">
        <f>SUM(B103*D103)</f>
        <v>6000000</v>
      </c>
      <c r="F103" s="122">
        <f>E103</f>
        <v>6000000</v>
      </c>
      <c r="G103" s="122"/>
      <c r="H103" s="122"/>
      <c r="J103" s="122"/>
      <c r="K103" s="195"/>
      <c r="L103" s="160"/>
      <c r="M103" s="122"/>
      <c r="N103" s="122"/>
      <c r="O103" s="122"/>
      <c r="P103" s="122"/>
      <c r="Q103" s="122"/>
      <c r="R103" s="122"/>
      <c r="S103" s="122"/>
      <c r="T103" s="122"/>
      <c r="U103" s="195"/>
      <c r="V103" s="160"/>
      <c r="W103" s="122"/>
      <c r="X103" s="122"/>
      <c r="Y103" s="122"/>
      <c r="Z103" s="122"/>
      <c r="AA103" s="122"/>
      <c r="AB103" s="122"/>
      <c r="AC103" s="122"/>
      <c r="AD103" s="122"/>
      <c r="AE103" s="195"/>
      <c r="AF103" s="160"/>
      <c r="AG103" s="122"/>
      <c r="AH103" s="122"/>
      <c r="AI103" s="122"/>
      <c r="AJ103" s="122"/>
      <c r="AK103" s="122"/>
      <c r="AL103" s="122"/>
      <c r="AM103" s="122"/>
      <c r="AN103" s="122"/>
      <c r="AO103" s="195"/>
      <c r="AP103" s="160">
        <f>SUM(V103+L103+B103+AF103)</f>
        <v>3</v>
      </c>
      <c r="AQ103" s="194" t="s">
        <v>110</v>
      </c>
      <c r="AR103" s="162"/>
      <c r="AS103" s="161">
        <f aca="true" t="shared" si="99" ref="AS103:AV107">SUM(Y103+O103+E103+AI103)</f>
        <v>6000000</v>
      </c>
      <c r="AT103" s="161" t="e">
        <f>SUM(Z103+P103+#REF!+AJ103)</f>
        <v>#REF!</v>
      </c>
      <c r="AU103" s="161">
        <f t="shared" si="99"/>
        <v>0</v>
      </c>
      <c r="AV103" s="161">
        <f t="shared" si="99"/>
        <v>0</v>
      </c>
      <c r="AW103" s="161">
        <f>SUM(AC103+S103+F103+AM103)</f>
        <v>6000000</v>
      </c>
      <c r="AX103" s="161">
        <f aca="true" t="shared" si="100" ref="AW103:AX107">SUM(AD103+T103+J103+AN103)</f>
        <v>0</v>
      </c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</row>
    <row r="104" spans="1:87" ht="12.75" customHeight="1">
      <c r="A104" s="29" t="s">
        <v>19</v>
      </c>
      <c r="B104" s="54">
        <v>3000</v>
      </c>
      <c r="C104" s="53" t="s">
        <v>111</v>
      </c>
      <c r="D104" s="194">
        <v>700</v>
      </c>
      <c r="E104" s="194">
        <f>SUM(B104*D104)</f>
        <v>2100000</v>
      </c>
      <c r="F104" s="122">
        <f>E104</f>
        <v>2100000</v>
      </c>
      <c r="G104" s="122"/>
      <c r="H104" s="122"/>
      <c r="J104" s="122"/>
      <c r="K104" s="195"/>
      <c r="L104" s="197"/>
      <c r="M104" s="198"/>
      <c r="N104" s="198"/>
      <c r="O104" s="198"/>
      <c r="P104" s="122"/>
      <c r="Q104" s="122"/>
      <c r="R104" s="122"/>
      <c r="S104" s="122"/>
      <c r="T104" s="122"/>
      <c r="U104" s="195"/>
      <c r="V104" s="197"/>
      <c r="W104" s="198"/>
      <c r="X104" s="198"/>
      <c r="Y104" s="198"/>
      <c r="Z104" s="122"/>
      <c r="AA104" s="122"/>
      <c r="AB104" s="122"/>
      <c r="AC104" s="122"/>
      <c r="AD104" s="122"/>
      <c r="AE104" s="195"/>
      <c r="AF104" s="197"/>
      <c r="AG104" s="198"/>
      <c r="AH104" s="198"/>
      <c r="AI104" s="198"/>
      <c r="AJ104" s="122"/>
      <c r="AK104" s="122"/>
      <c r="AL104" s="122"/>
      <c r="AM104" s="122"/>
      <c r="AN104" s="122"/>
      <c r="AO104" s="195"/>
      <c r="AP104" s="160">
        <f>SUM(V104+L104+B104+AF104)</f>
        <v>3000</v>
      </c>
      <c r="AQ104" s="194" t="s">
        <v>111</v>
      </c>
      <c r="AR104" s="162"/>
      <c r="AS104" s="161">
        <f t="shared" si="99"/>
        <v>2100000</v>
      </c>
      <c r="AT104" s="161" t="e">
        <f>SUM(Z104+P104+#REF!+AJ104)</f>
        <v>#REF!</v>
      </c>
      <c r="AU104" s="161">
        <f t="shared" si="99"/>
        <v>0</v>
      </c>
      <c r="AV104" s="161">
        <f t="shared" si="99"/>
        <v>0</v>
      </c>
      <c r="AW104" s="161">
        <f>SUM(AC104+S104+F104+AM104)</f>
        <v>2100000</v>
      </c>
      <c r="AX104" s="161">
        <f t="shared" si="100"/>
        <v>0</v>
      </c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</row>
    <row r="105" spans="1:87" ht="12.75" customHeight="1">
      <c r="A105" s="29" t="s">
        <v>20</v>
      </c>
      <c r="B105" s="54">
        <v>12</v>
      </c>
      <c r="C105" s="53" t="s">
        <v>111</v>
      </c>
      <c r="D105" s="194">
        <v>3000000</v>
      </c>
      <c r="E105" s="194">
        <f>SUM(B105*D105)</f>
        <v>36000000</v>
      </c>
      <c r="F105" s="122">
        <f>+E105</f>
        <v>36000000</v>
      </c>
      <c r="G105" s="122"/>
      <c r="H105" s="122"/>
      <c r="I105" s="122"/>
      <c r="J105" s="122"/>
      <c r="K105" s="195"/>
      <c r="L105" s="160"/>
      <c r="M105" s="122"/>
      <c r="N105" s="122"/>
      <c r="O105" s="122"/>
      <c r="P105" s="122"/>
      <c r="Q105" s="122"/>
      <c r="R105" s="122"/>
      <c r="S105" s="122"/>
      <c r="T105" s="122"/>
      <c r="U105" s="195"/>
      <c r="V105" s="160"/>
      <c r="W105" s="122"/>
      <c r="X105" s="122"/>
      <c r="Y105" s="122"/>
      <c r="Z105" s="122"/>
      <c r="AB105" s="122"/>
      <c r="AC105" s="122"/>
      <c r="AD105" s="122"/>
      <c r="AE105" s="195"/>
      <c r="AF105" s="36">
        <v>13</v>
      </c>
      <c r="AG105" s="7" t="s">
        <v>112</v>
      </c>
      <c r="AH105" s="122">
        <v>1500000</v>
      </c>
      <c r="AI105" s="122">
        <f>SUM(AF105*AH105)</f>
        <v>19500000</v>
      </c>
      <c r="AJ105" s="122"/>
      <c r="AL105" s="122">
        <f>AI105</f>
        <v>19500000</v>
      </c>
      <c r="AM105" s="122"/>
      <c r="AN105" s="122"/>
      <c r="AO105" s="195"/>
      <c r="AP105" s="160">
        <f>SUM(V105+L105+B105+AF105)</f>
        <v>25</v>
      </c>
      <c r="AQ105" s="194" t="s">
        <v>111</v>
      </c>
      <c r="AR105" s="162"/>
      <c r="AS105" s="161">
        <f t="shared" si="99"/>
        <v>55500000</v>
      </c>
      <c r="AT105" s="161">
        <f t="shared" si="99"/>
        <v>36000000</v>
      </c>
      <c r="AU105" s="161">
        <f t="shared" si="99"/>
        <v>0</v>
      </c>
      <c r="AV105" s="161">
        <f t="shared" si="99"/>
        <v>19500000</v>
      </c>
      <c r="AW105" s="161">
        <f t="shared" si="100"/>
        <v>0</v>
      </c>
      <c r="AX105" s="161">
        <f t="shared" si="100"/>
        <v>0</v>
      </c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</row>
    <row r="106" spans="1:87" ht="12.75" customHeight="1">
      <c r="A106" s="29" t="s">
        <v>223</v>
      </c>
      <c r="B106" s="36">
        <v>26</v>
      </c>
      <c r="C106" s="7" t="s">
        <v>112</v>
      </c>
      <c r="D106" s="122">
        <v>2000000</v>
      </c>
      <c r="E106" s="122">
        <f>SUM(B106*D106)</f>
        <v>52000000</v>
      </c>
      <c r="F106" s="122">
        <f>E106</f>
        <v>52000000</v>
      </c>
      <c r="G106" s="122"/>
      <c r="H106" s="122"/>
      <c r="I106" s="122"/>
      <c r="J106" s="122"/>
      <c r="K106" s="195"/>
      <c r="L106" s="36">
        <v>26</v>
      </c>
      <c r="M106" s="7" t="s">
        <v>112</v>
      </c>
      <c r="N106" s="122">
        <v>1500000</v>
      </c>
      <c r="O106" s="122">
        <f>SUM(L106*N106)</f>
        <v>39000000</v>
      </c>
      <c r="P106" s="122">
        <f>O106</f>
        <v>39000000</v>
      </c>
      <c r="Q106" s="122"/>
      <c r="R106" s="122"/>
      <c r="S106" s="122"/>
      <c r="T106" s="122"/>
      <c r="U106" s="195"/>
      <c r="V106" s="36">
        <v>26</v>
      </c>
      <c r="W106" s="7" t="s">
        <v>112</v>
      </c>
      <c r="X106" s="122">
        <v>1500000</v>
      </c>
      <c r="Y106" s="122">
        <f>SUM(V106*X106)</f>
        <v>39000000</v>
      </c>
      <c r="Z106" s="122">
        <f>Y106</f>
        <v>39000000</v>
      </c>
      <c r="AA106" s="122"/>
      <c r="AB106" s="122"/>
      <c r="AC106" s="122"/>
      <c r="AD106" s="122"/>
      <c r="AE106" s="195"/>
      <c r="AF106" s="36">
        <v>6</v>
      </c>
      <c r="AG106" s="7" t="s">
        <v>112</v>
      </c>
      <c r="AH106" s="122">
        <v>1200000</v>
      </c>
      <c r="AI106" s="122">
        <f>SUM(AF106*AH106)</f>
        <v>7200000</v>
      </c>
      <c r="AJ106" s="122">
        <f>AI106</f>
        <v>7200000</v>
      </c>
      <c r="AK106" s="122"/>
      <c r="AL106" s="122"/>
      <c r="AM106" s="122"/>
      <c r="AN106" s="122"/>
      <c r="AO106" s="195"/>
      <c r="AP106" s="160">
        <f>SUM(V106+L106+B106+AF106)</f>
        <v>84</v>
      </c>
      <c r="AQ106" s="122" t="s">
        <v>112</v>
      </c>
      <c r="AR106" s="122"/>
      <c r="AS106" s="161">
        <f t="shared" si="99"/>
        <v>137200000</v>
      </c>
      <c r="AT106" s="161">
        <f t="shared" si="99"/>
        <v>137200000</v>
      </c>
      <c r="AU106" s="161">
        <f t="shared" si="99"/>
        <v>0</v>
      </c>
      <c r="AV106" s="161">
        <f t="shared" si="99"/>
        <v>0</v>
      </c>
      <c r="AW106" s="161">
        <f t="shared" si="100"/>
        <v>0</v>
      </c>
      <c r="AX106" s="161">
        <f t="shared" si="100"/>
        <v>0</v>
      </c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</row>
    <row r="107" spans="1:87" ht="25.5">
      <c r="A107" s="227" t="s">
        <v>105</v>
      </c>
      <c r="B107" s="36">
        <v>26</v>
      </c>
      <c r="C107" s="7" t="s">
        <v>112</v>
      </c>
      <c r="D107" s="122">
        <v>1500000</v>
      </c>
      <c r="E107" s="122">
        <f>SUM(B107*D107)</f>
        <v>39000000</v>
      </c>
      <c r="F107" s="290">
        <f>+E107</f>
        <v>39000000</v>
      </c>
      <c r="G107" s="122"/>
      <c r="H107" s="122"/>
      <c r="J107" s="122"/>
      <c r="K107" s="195"/>
      <c r="L107" s="36">
        <v>26</v>
      </c>
      <c r="M107" s="7" t="s">
        <v>112</v>
      </c>
      <c r="N107" s="122">
        <v>1200000</v>
      </c>
      <c r="O107" s="122">
        <f>SUM(L107*N107)</f>
        <v>31200000</v>
      </c>
      <c r="P107" s="122">
        <f>+O107</f>
        <v>31200000</v>
      </c>
      <c r="Q107" s="122"/>
      <c r="R107" s="122"/>
      <c r="S107" s="234"/>
      <c r="T107" s="122"/>
      <c r="U107" s="195"/>
      <c r="V107" s="36">
        <v>26</v>
      </c>
      <c r="W107" s="7" t="s">
        <v>112</v>
      </c>
      <c r="X107" s="122">
        <v>1200000</v>
      </c>
      <c r="Y107" s="122">
        <f>SUM(V107*X107)</f>
        <v>31200000</v>
      </c>
      <c r="Z107" s="122">
        <f>+Y107/2</f>
        <v>15600000</v>
      </c>
      <c r="AA107" s="122"/>
      <c r="AB107" s="122"/>
      <c r="AC107" s="122">
        <f>+Y107/2</f>
        <v>15600000</v>
      </c>
      <c r="AD107" s="122"/>
      <c r="AE107" s="195"/>
      <c r="AF107" s="199">
        <v>3</v>
      </c>
      <c r="AG107" s="194" t="s">
        <v>113</v>
      </c>
      <c r="AH107" s="194">
        <f>X107*1.058</f>
        <v>1269600</v>
      </c>
      <c r="AI107" s="194">
        <f>SUM(AF107*AH107)</f>
        <v>3808800</v>
      </c>
      <c r="AJ107" s="122">
        <f>AI107</f>
        <v>3808800</v>
      </c>
      <c r="AK107" s="122"/>
      <c r="AL107" s="122"/>
      <c r="AM107" s="122"/>
      <c r="AN107" s="122"/>
      <c r="AO107" s="195"/>
      <c r="AP107" s="160">
        <f>SUM(V107+L107+B107+AF107)</f>
        <v>81</v>
      </c>
      <c r="AQ107" s="122" t="s">
        <v>112</v>
      </c>
      <c r="AR107" s="122"/>
      <c r="AS107" s="161">
        <f t="shared" si="99"/>
        <v>105208800</v>
      </c>
      <c r="AT107" s="161" t="e">
        <f>SUM(Z107+P107+#REF!+AJ107)</f>
        <v>#REF!</v>
      </c>
      <c r="AU107" s="161">
        <f t="shared" si="99"/>
        <v>0</v>
      </c>
      <c r="AV107" s="161">
        <f t="shared" si="99"/>
        <v>0</v>
      </c>
      <c r="AW107" s="161">
        <f>SUM(AC107+S107+F107+AM107)</f>
        <v>54600000</v>
      </c>
      <c r="AX107" s="161">
        <f t="shared" si="100"/>
        <v>0</v>
      </c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</row>
    <row r="108" spans="1:87" ht="25.5">
      <c r="A108" s="233" t="s">
        <v>235</v>
      </c>
      <c r="B108" s="36"/>
      <c r="C108" s="7"/>
      <c r="D108" s="122"/>
      <c r="E108" s="122">
        <f>+H126</f>
        <v>259200000</v>
      </c>
      <c r="F108" s="122">
        <f>+E108</f>
        <v>259200000</v>
      </c>
      <c r="G108" s="122"/>
      <c r="H108" s="122"/>
      <c r="I108" s="122"/>
      <c r="J108" s="122"/>
      <c r="K108" s="195"/>
      <c r="L108" s="36"/>
      <c r="M108" s="7"/>
      <c r="N108" s="122"/>
      <c r="O108" s="122">
        <f>+H127</f>
        <v>274233600</v>
      </c>
      <c r="P108" s="122">
        <f>+O108</f>
        <v>274233600</v>
      </c>
      <c r="Q108" s="122"/>
      <c r="R108" s="122"/>
      <c r="S108" s="122"/>
      <c r="T108" s="122"/>
      <c r="U108" s="195"/>
      <c r="V108" s="36"/>
      <c r="W108" s="7"/>
      <c r="X108" s="122"/>
      <c r="Y108" s="122">
        <f>+H128</f>
        <v>290139148.8</v>
      </c>
      <c r="Z108" s="122">
        <f>+Y108</f>
        <v>290139148.8</v>
      </c>
      <c r="AA108" s="122"/>
      <c r="AB108" s="122"/>
      <c r="AC108" s="122"/>
      <c r="AD108" s="122"/>
      <c r="AE108" s="195"/>
      <c r="AF108" s="199"/>
      <c r="AG108" s="194"/>
      <c r="AH108" s="194"/>
      <c r="AI108" s="194">
        <f>+H129</f>
        <v>306521132.4304</v>
      </c>
      <c r="AJ108" s="122">
        <f>+AI108</f>
        <v>306521132.4304</v>
      </c>
      <c r="AK108" s="122"/>
      <c r="AL108" s="122"/>
      <c r="AM108" s="122"/>
      <c r="AN108" s="122"/>
      <c r="AO108" s="195"/>
      <c r="AP108" s="160"/>
      <c r="AQ108" s="122"/>
      <c r="AR108" s="122"/>
      <c r="AS108" s="161">
        <f>+E108+O108+Y108+AI108</f>
        <v>1130093881.2304</v>
      </c>
      <c r="AT108" s="161">
        <f>+F108+P108+Z108+AJ108</f>
        <v>1130093881.2304</v>
      </c>
      <c r="AU108" s="161"/>
      <c r="AV108" s="161"/>
      <c r="AW108" s="161"/>
      <c r="AX108" s="161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</row>
    <row r="109" spans="1:87" ht="18.75" customHeight="1">
      <c r="A109" s="21" t="s">
        <v>45</v>
      </c>
      <c r="B109" s="38"/>
      <c r="C109" s="38"/>
      <c r="D109" s="163"/>
      <c r="E109" s="163">
        <f>SUM(E103:E108)</f>
        <v>394300000</v>
      </c>
      <c r="F109" s="163">
        <f>SUM(F103:F108)</f>
        <v>394300000</v>
      </c>
      <c r="G109" s="163">
        <f>SUM(G103:G107)</f>
        <v>0</v>
      </c>
      <c r="H109" s="163">
        <f>SUM(H103:H107)</f>
        <v>0</v>
      </c>
      <c r="I109" s="163">
        <f>SUM(I103:I107)</f>
        <v>0</v>
      </c>
      <c r="J109" s="163">
        <f>SUM(J103:J107)</f>
        <v>0</v>
      </c>
      <c r="K109" s="163">
        <f aca="true" t="shared" si="101" ref="K109:T109">SUM(K103:K107)</f>
        <v>0</v>
      </c>
      <c r="L109" s="163">
        <f t="shared" si="101"/>
        <v>52</v>
      </c>
      <c r="M109" s="163">
        <f t="shared" si="101"/>
        <v>0</v>
      </c>
      <c r="N109" s="163">
        <f t="shared" si="101"/>
        <v>2700000</v>
      </c>
      <c r="O109" s="163">
        <f>SUM(O102:O108)</f>
        <v>344433600</v>
      </c>
      <c r="P109" s="163">
        <f>SUM(P103:P108)</f>
        <v>344433600</v>
      </c>
      <c r="Q109" s="163">
        <f t="shared" si="101"/>
        <v>0</v>
      </c>
      <c r="R109" s="163">
        <f t="shared" si="101"/>
        <v>0</v>
      </c>
      <c r="S109" s="163">
        <f t="shared" si="101"/>
        <v>0</v>
      </c>
      <c r="T109" s="163">
        <f t="shared" si="101"/>
        <v>0</v>
      </c>
      <c r="U109" s="137"/>
      <c r="V109" s="180"/>
      <c r="W109" s="180"/>
      <c r="X109" s="180"/>
      <c r="Y109" s="163">
        <f>SUM(Y103:Y108)</f>
        <v>360339148.8</v>
      </c>
      <c r="Z109" s="163">
        <f>SUM(Z103:Z108)</f>
        <v>344739148.8</v>
      </c>
      <c r="AA109" s="163">
        <f>SUM(AA103:AA107)</f>
        <v>0</v>
      </c>
      <c r="AB109" s="163">
        <f>SUM(AB103:AB107)</f>
        <v>0</v>
      </c>
      <c r="AC109" s="163">
        <f>SUM(AC103:AC107)</f>
        <v>15600000</v>
      </c>
      <c r="AD109" s="163">
        <f>SUM(AD103:AD107)</f>
        <v>0</v>
      </c>
      <c r="AE109" s="137"/>
      <c r="AF109" s="180"/>
      <c r="AG109" s="180"/>
      <c r="AH109" s="180"/>
      <c r="AI109" s="163">
        <f>SUM(AI102:AI108)</f>
        <v>337029932.4304</v>
      </c>
      <c r="AJ109" s="163">
        <f>SUM(AJ103:AJ108)</f>
        <v>317529932.4304</v>
      </c>
      <c r="AK109" s="163">
        <f>SUM(AK103:AK107)</f>
        <v>0</v>
      </c>
      <c r="AL109" s="163">
        <f>SUM(AL103:AL107)</f>
        <v>19500000</v>
      </c>
      <c r="AM109" s="163">
        <f>SUM(AM103:AM107)</f>
        <v>0</v>
      </c>
      <c r="AN109" s="163">
        <f>SUM(AN103:AN107)</f>
        <v>0</v>
      </c>
      <c r="AO109" s="137"/>
      <c r="AP109" s="180"/>
      <c r="AQ109" s="180"/>
      <c r="AR109" s="180"/>
      <c r="AS109" s="164">
        <f>SUM(AS103:AS108)</f>
        <v>1436102681.2304</v>
      </c>
      <c r="AT109" s="164" t="e">
        <f>SUM(AT103:AT108)</f>
        <v>#REF!</v>
      </c>
      <c r="AU109" s="164">
        <f>SUM(AU103:AU107)</f>
        <v>0</v>
      </c>
      <c r="AV109" s="164">
        <f>SUM(AV103:AV107)</f>
        <v>19500000</v>
      </c>
      <c r="AW109" s="164">
        <f>SUM(AW103:AW107)</f>
        <v>62700000</v>
      </c>
      <c r="AX109" s="164">
        <f>SUM(AX103:AX107)</f>
        <v>0</v>
      </c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/>
      <c r="BN109" s="388"/>
      <c r="BO109" s="388"/>
      <c r="BP109" s="388"/>
      <c r="BQ109" s="388"/>
      <c r="BR109" s="388"/>
      <c r="BS109" s="388"/>
      <c r="BT109" s="388"/>
      <c r="BU109" s="388"/>
      <c r="BV109" s="388"/>
      <c r="BW109" s="388"/>
      <c r="BX109" s="388"/>
      <c r="BY109" s="388"/>
      <c r="BZ109" s="388"/>
      <c r="CA109" s="388"/>
      <c r="CB109" s="388"/>
      <c r="CC109" s="388"/>
      <c r="CD109" s="388"/>
      <c r="CE109" s="388"/>
      <c r="CF109" s="388"/>
      <c r="CG109" s="388"/>
      <c r="CH109" s="388"/>
      <c r="CI109" s="388"/>
    </row>
    <row r="110" spans="1:87" ht="4.5" customHeight="1">
      <c r="A110" s="15"/>
      <c r="B110" s="34"/>
      <c r="C110" s="34"/>
      <c r="D110" s="151"/>
      <c r="E110" s="151"/>
      <c r="F110" s="152"/>
      <c r="G110" s="152"/>
      <c r="H110" s="152"/>
      <c r="I110" s="152"/>
      <c r="J110" s="152"/>
      <c r="K110" s="137"/>
      <c r="L110" s="174"/>
      <c r="M110" s="174"/>
      <c r="N110" s="182"/>
      <c r="O110" s="162"/>
      <c r="P110" s="182"/>
      <c r="Q110" s="182"/>
      <c r="R110" s="182"/>
      <c r="S110" s="182"/>
      <c r="T110" s="183"/>
      <c r="U110" s="137"/>
      <c r="V110" s="174"/>
      <c r="W110" s="174"/>
      <c r="X110" s="182"/>
      <c r="Y110" s="162"/>
      <c r="Z110" s="182"/>
      <c r="AA110" s="182"/>
      <c r="AB110" s="182"/>
      <c r="AC110" s="182"/>
      <c r="AD110" s="183"/>
      <c r="AE110" s="137"/>
      <c r="AF110" s="174"/>
      <c r="AG110" s="174"/>
      <c r="AH110" s="182"/>
      <c r="AI110" s="162"/>
      <c r="AJ110" s="182"/>
      <c r="AK110" s="182"/>
      <c r="AL110" s="182"/>
      <c r="AM110" s="182"/>
      <c r="AN110" s="183"/>
      <c r="AO110" s="137"/>
      <c r="AP110" s="125"/>
      <c r="AQ110" s="125"/>
      <c r="AR110" s="123"/>
      <c r="AS110" s="123"/>
      <c r="AT110" s="169"/>
      <c r="AU110" s="170"/>
      <c r="AV110" s="170"/>
      <c r="AW110" s="170"/>
      <c r="AX110" s="171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/>
      <c r="BN110" s="388"/>
      <c r="BO110" s="388"/>
      <c r="BP110" s="388"/>
      <c r="BQ110" s="388"/>
      <c r="BR110" s="388"/>
      <c r="BS110" s="388"/>
      <c r="BT110" s="388"/>
      <c r="BU110" s="388"/>
      <c r="BV110" s="388"/>
      <c r="BW110" s="388"/>
      <c r="BX110" s="388"/>
      <c r="BY110" s="388"/>
      <c r="BZ110" s="388"/>
      <c r="CA110" s="388"/>
      <c r="CB110" s="388"/>
      <c r="CC110" s="388"/>
      <c r="CD110" s="388"/>
      <c r="CE110" s="388"/>
      <c r="CF110" s="388"/>
      <c r="CG110" s="388"/>
      <c r="CH110" s="388"/>
      <c r="CI110" s="388"/>
    </row>
    <row r="111" spans="1:87" ht="15.75">
      <c r="A111" s="49" t="s">
        <v>62</v>
      </c>
      <c r="B111" s="51"/>
      <c r="C111" s="52"/>
      <c r="D111" s="191"/>
      <c r="E111" s="200">
        <f aca="true" t="shared" si="102" ref="E111:J111">SUM(E109+E100+E94+E90+E82+E66+E55+E44+E30+E16)</f>
        <v>4249075363.6</v>
      </c>
      <c r="F111" s="200">
        <f t="shared" si="102"/>
        <v>3118364000</v>
      </c>
      <c r="G111" s="200">
        <f t="shared" si="102"/>
        <v>0</v>
      </c>
      <c r="H111" s="200">
        <f t="shared" si="102"/>
        <v>543830857.6</v>
      </c>
      <c r="I111" s="200">
        <f t="shared" si="102"/>
        <v>586880506</v>
      </c>
      <c r="J111" s="200">
        <f t="shared" si="102"/>
        <v>0</v>
      </c>
      <c r="K111" s="201"/>
      <c r="L111" s="200"/>
      <c r="M111" s="200"/>
      <c r="N111" s="200"/>
      <c r="O111" s="200">
        <f aca="true" t="shared" si="103" ref="O111:T111">SUM(O109+O100+O94+O90+O82+O66+O55+O44+O30+O16)</f>
        <v>3328271097.6969643</v>
      </c>
      <c r="P111" s="200">
        <f>SUM(P109+P100+P94+P90+P82+P66+P55+P44+P30+P16)</f>
        <v>2715898510.3561645</v>
      </c>
      <c r="Q111" s="202">
        <f t="shared" si="103"/>
        <v>0</v>
      </c>
      <c r="R111" s="202">
        <f t="shared" si="103"/>
        <v>84764907.3408</v>
      </c>
      <c r="S111" s="202">
        <f t="shared" si="103"/>
        <v>489519680</v>
      </c>
      <c r="T111" s="203">
        <f t="shared" si="103"/>
        <v>38088000</v>
      </c>
      <c r="U111" s="201"/>
      <c r="V111" s="200"/>
      <c r="W111" s="200"/>
      <c r="X111" s="200"/>
      <c r="Y111" s="200">
        <f aca="true" t="shared" si="104" ref="Y111:AD111">SUM(Y109+Y100+Y94+Y90+Y82+Y66+Y55+Y44+Y30+Y16)</f>
        <v>3773155152.883388</v>
      </c>
      <c r="Z111" s="200">
        <f t="shared" si="104"/>
        <v>3261330570.836822</v>
      </c>
      <c r="AA111" s="202">
        <f t="shared" si="104"/>
        <v>0</v>
      </c>
      <c r="AB111" s="202">
        <f t="shared" si="104"/>
        <v>90210726.04656641</v>
      </c>
      <c r="AC111" s="202">
        <f t="shared" si="104"/>
        <v>381316752</v>
      </c>
      <c r="AD111" s="203">
        <f t="shared" si="104"/>
        <v>40297104</v>
      </c>
      <c r="AE111" s="201"/>
      <c r="AF111" s="200"/>
      <c r="AG111" s="200"/>
      <c r="AH111" s="200"/>
      <c r="AI111" s="200">
        <f>+AI109+AI100+AI94+AI90+AI82+AI66+AI55+AI44+AI30+AI16</f>
        <v>2453876088.62862</v>
      </c>
      <c r="AJ111" s="202">
        <f>SUM(AJ109+AJ100+AJ94+AJ90+AJ82+AJ66+AJ55+AJ44+AJ30+AJ16)</f>
        <v>1935152200.021303</v>
      </c>
      <c r="AK111" s="202">
        <f>SUM(AK109+AK100+AK94+AK90+AK82+AK66+AK55+AK44+AK30+AK16)</f>
        <v>0</v>
      </c>
      <c r="AL111" s="202">
        <f>SUM(AL109+AL100+AL94+AL90+AL82+AL66+AL55+AL44+AL30+AL16)</f>
        <v>98777234.15451762</v>
      </c>
      <c r="AM111" s="202">
        <f>SUM(AM109+AM100+AM94+AM90+AM82+AM66+AM55+AM44+AM30+AM16)</f>
        <v>398629486.4368</v>
      </c>
      <c r="AN111" s="203">
        <f>SUM(AN109+AN100+AN94+AN90+AN82+AN66+AN55+AN44+AN30+AN16)</f>
        <v>21317168.016</v>
      </c>
      <c r="AO111" s="201"/>
      <c r="AP111" s="200"/>
      <c r="AQ111" s="200"/>
      <c r="AR111" s="200"/>
      <c r="AS111" s="204">
        <f aca="true" t="shared" si="105" ref="AS111:AX111">SUM(AS109+AS100+AS94+AS90+AS82+AS66+AS55+AS44+AS30+AS16)</f>
        <v>12742397830.712973</v>
      </c>
      <c r="AT111" s="205" t="e">
        <f t="shared" si="105"/>
        <v>#REF!</v>
      </c>
      <c r="AU111" s="204">
        <f t="shared" si="105"/>
        <v>0</v>
      </c>
      <c r="AV111" s="204">
        <f t="shared" si="105"/>
        <v>870577482.5872921</v>
      </c>
      <c r="AW111" s="204">
        <f t="shared" si="105"/>
        <v>2193046424.4368</v>
      </c>
      <c r="AX111" s="205">
        <f t="shared" si="105"/>
        <v>15000</v>
      </c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/>
      <c r="BN111" s="388"/>
      <c r="BO111" s="388"/>
      <c r="BP111" s="388"/>
      <c r="BQ111" s="388"/>
      <c r="BR111" s="388"/>
      <c r="BS111" s="388"/>
      <c r="BT111" s="388"/>
      <c r="BU111" s="388"/>
      <c r="BV111" s="388"/>
      <c r="BW111" s="388"/>
      <c r="BX111" s="388"/>
      <c r="BY111" s="388"/>
      <c r="BZ111" s="388"/>
      <c r="CA111" s="388"/>
      <c r="CB111" s="388"/>
      <c r="CC111" s="388"/>
      <c r="CD111" s="388"/>
      <c r="CE111" s="388"/>
      <c r="CF111" s="388"/>
      <c r="CG111" s="388"/>
      <c r="CH111" s="388"/>
      <c r="CI111" s="388"/>
    </row>
    <row r="112" spans="4:87" ht="15.75">
      <c r="D112" s="285" t="s">
        <v>280</v>
      </c>
      <c r="E112" s="206"/>
      <c r="F112" s="285">
        <f>F111+G111+H111+I111</f>
        <v>4249075363.6</v>
      </c>
      <c r="G112" s="206"/>
      <c r="H112" s="206"/>
      <c r="I112" s="206"/>
      <c r="J112" s="206"/>
      <c r="K112" s="206"/>
      <c r="M112" s="285" t="s">
        <v>280</v>
      </c>
      <c r="O112" s="285">
        <f>P111+R111+S111+T111</f>
        <v>3328271097.6969643</v>
      </c>
      <c r="P112" s="206"/>
      <c r="Q112" s="206"/>
      <c r="R112" s="206"/>
      <c r="S112" s="206"/>
      <c r="T112" s="206"/>
      <c r="U112" s="206"/>
      <c r="W112" s="285" t="s">
        <v>280</v>
      </c>
      <c r="Y112" s="288">
        <f>Z111+AB111+AC111+AD111</f>
        <v>3773155152.8833885</v>
      </c>
      <c r="AE112" s="206"/>
      <c r="AG112" s="285" t="s">
        <v>280</v>
      </c>
      <c r="AI112" s="288">
        <f>+AJ111+AK111+AL111+AM111+AN111</f>
        <v>2453876088.62862</v>
      </c>
      <c r="AO112" s="206"/>
      <c r="AS112" s="207"/>
      <c r="AU112" s="208"/>
      <c r="AV112" s="208"/>
      <c r="AW112" s="208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</row>
    <row r="113" spans="4:87" ht="15">
      <c r="D113" s="285" t="s">
        <v>279</v>
      </c>
      <c r="F113" s="286">
        <f>F112-E111</f>
        <v>0</v>
      </c>
      <c r="M113" s="285" t="s">
        <v>279</v>
      </c>
      <c r="O113" s="286">
        <f>O112-O111</f>
        <v>0</v>
      </c>
      <c r="W113" s="285" t="s">
        <v>279</v>
      </c>
      <c r="Y113" s="288">
        <f>Y112-Y111</f>
        <v>0</v>
      </c>
      <c r="AG113" s="285" t="s">
        <v>279</v>
      </c>
      <c r="AI113" s="288">
        <f>AI112-AI111</f>
        <v>0</v>
      </c>
      <c r="AS113" s="209">
        <f>AS111*B3</f>
        <v>23254876041051.176</v>
      </c>
      <c r="AT113" s="208" t="e">
        <f>AT111*B3</f>
        <v>#REF!</v>
      </c>
      <c r="AU113" s="208">
        <f>AU111*B3</f>
        <v>0</v>
      </c>
      <c r="AV113" s="208">
        <f>AV111*B3</f>
        <v>1588803905721.808</v>
      </c>
      <c r="AW113" s="208">
        <f>AW111*B3</f>
        <v>4002309724597.16</v>
      </c>
      <c r="AX113" s="208">
        <f>AX111*B3</f>
        <v>27375000</v>
      </c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</row>
    <row r="114" spans="5:87" ht="15.75" thickBot="1">
      <c r="E114" s="123">
        <f>+F111+P111+Z111+AJ111</f>
        <v>11030745281.21429</v>
      </c>
      <c r="Y114" s="210"/>
      <c r="AI114" s="210"/>
      <c r="AT114" s="228" t="e">
        <f>+AT113/AS113</f>
        <v>#REF!</v>
      </c>
      <c r="AU114" s="210"/>
      <c r="AW114" s="210"/>
      <c r="AX114" s="208" t="e">
        <f>AT113+AU113+AV113+AW113+AX113</f>
        <v>#REF!</v>
      </c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</row>
    <row r="115" spans="5:47" ht="18">
      <c r="E115" s="243" t="s">
        <v>224</v>
      </c>
      <c r="F115" s="236">
        <f>+F111+P111+Z111+AJ111</f>
        <v>11030745281.21429</v>
      </c>
      <c r="H115" s="235">
        <f>+F115/F118</f>
        <v>0.7990758814842994</v>
      </c>
      <c r="I115" s="122" t="s">
        <v>238</v>
      </c>
      <c r="AI115" s="210"/>
      <c r="AU115" s="211"/>
    </row>
    <row r="116" spans="5:9" ht="14.25">
      <c r="E116" s="244" t="s">
        <v>225</v>
      </c>
      <c r="F116" s="238">
        <f>+H111+R111+AB111+AL111</f>
        <v>817583725.1418841</v>
      </c>
      <c r="G116" s="123">
        <f>+F117+F116</f>
        <v>2773632421.594684</v>
      </c>
      <c r="H116" s="235">
        <f>+G116/F118</f>
        <v>0.20092411851570052</v>
      </c>
      <c r="I116" s="122" t="s">
        <v>239</v>
      </c>
    </row>
    <row r="117" spans="5:6" ht="15" thickBot="1">
      <c r="E117" s="245" t="s">
        <v>226</v>
      </c>
      <c r="F117" s="240">
        <f>+I111+S111+T111+AC111+AD111+AM111+AN111</f>
        <v>1956048696.4528</v>
      </c>
    </row>
    <row r="118" spans="6:8" ht="14.25">
      <c r="F118" s="123">
        <f>SUM(F115:F117)</f>
        <v>13804377702.808975</v>
      </c>
      <c r="H118" s="123">
        <f>+F117-200000000</f>
        <v>1756048696.4528</v>
      </c>
    </row>
    <row r="119" ht="15" thickBot="1"/>
    <row r="120" spans="5:6" ht="14.25">
      <c r="E120" s="241" t="s">
        <v>241</v>
      </c>
      <c r="F120" s="242"/>
    </row>
    <row r="121" spans="5:6" ht="14.25">
      <c r="E121" s="237" t="s">
        <v>236</v>
      </c>
      <c r="F121" s="238">
        <f>+F117-200000000</f>
        <v>1756048696.4528</v>
      </c>
    </row>
    <row r="122" spans="5:6" ht="14.25">
      <c r="E122" s="237" t="s">
        <v>237</v>
      </c>
      <c r="F122" s="238">
        <v>200000000</v>
      </c>
    </row>
    <row r="123" spans="1:6" ht="15.75" thickBot="1">
      <c r="A123" s="86"/>
      <c r="E123" s="239" t="s">
        <v>225</v>
      </c>
      <c r="F123" s="240">
        <f>+F116</f>
        <v>817583725.1418841</v>
      </c>
    </row>
    <row r="124" spans="5:6" ht="14.25">
      <c r="E124" s="206" t="s">
        <v>240</v>
      </c>
      <c r="F124" s="206">
        <f>SUM(F121:F123)</f>
        <v>2773632421.594684</v>
      </c>
    </row>
    <row r="126" spans="5:9" ht="14.25">
      <c r="E126" s="123">
        <v>13804377702.962414</v>
      </c>
      <c r="F126" s="123">
        <f>+E126-F118</f>
        <v>0.15343856811523438</v>
      </c>
      <c r="H126" s="122">
        <v>259200000</v>
      </c>
      <c r="I126" s="123" t="s">
        <v>230</v>
      </c>
    </row>
    <row r="127" spans="7:9" ht="14.25">
      <c r="G127" s="123">
        <f>+F126/4</f>
        <v>0.038359642028808594</v>
      </c>
      <c r="H127" s="122">
        <f>+H126*1.058</f>
        <v>274233600</v>
      </c>
      <c r="I127" s="123" t="s">
        <v>231</v>
      </c>
    </row>
    <row r="128" spans="2:9" ht="14.25">
      <c r="B128" s="231">
        <v>0.1</v>
      </c>
      <c r="C128" s="232">
        <f>+D128*12</f>
        <v>345109442.5740604</v>
      </c>
      <c r="D128" s="179">
        <f>+E128/48</f>
        <v>28759120.21450503</v>
      </c>
      <c r="E128" s="179">
        <f>+E126*10%</f>
        <v>1380437770.2962415</v>
      </c>
      <c r="H128" s="122">
        <f>+H127*1.058</f>
        <v>290139148.8</v>
      </c>
      <c r="I128" s="123" t="s">
        <v>232</v>
      </c>
    </row>
    <row r="129" spans="2:9" ht="14.25">
      <c r="B129" s="231">
        <v>0.08</v>
      </c>
      <c r="C129" s="232">
        <f>+D129*12</f>
        <v>276087554.05924827</v>
      </c>
      <c r="D129" s="179">
        <f>+E129/48</f>
        <v>23007296.171604022</v>
      </c>
      <c r="E129" s="179">
        <f>+E126*8%</f>
        <v>1104350216.236993</v>
      </c>
      <c r="H129" s="122">
        <f>+H128*1.058-446087</f>
        <v>306521132.4304</v>
      </c>
      <c r="I129" s="123" t="s">
        <v>233</v>
      </c>
    </row>
    <row r="130" spans="2:9" ht="14.25">
      <c r="B130" s="231">
        <v>0.06</v>
      </c>
      <c r="C130" s="232">
        <f>+D130*12</f>
        <v>207065665.54443622</v>
      </c>
      <c r="D130" s="179">
        <f>+E130/48</f>
        <v>17255472.128703017</v>
      </c>
      <c r="E130" s="179">
        <f>+E126*6%</f>
        <v>828262662.1777447</v>
      </c>
      <c r="H130" s="123">
        <f>SUM(H126:H129)</f>
        <v>1130093881.2304</v>
      </c>
      <c r="I130" s="123" t="s">
        <v>234</v>
      </c>
    </row>
    <row r="131" ht="14.25">
      <c r="H131" s="229">
        <f>+H130/F118</f>
        <v>0.08186489138155381</v>
      </c>
    </row>
    <row r="133" spans="1:8" ht="23.25">
      <c r="A133" s="428" t="s">
        <v>242</v>
      </c>
      <c r="B133" s="429"/>
      <c r="C133" s="429"/>
      <c r="D133" s="429"/>
      <c r="E133" s="429"/>
      <c r="F133" s="429"/>
      <c r="G133" s="429"/>
      <c r="H133" s="246"/>
    </row>
    <row r="134" spans="1:8" ht="30">
      <c r="A134" s="247" t="s">
        <v>243</v>
      </c>
      <c r="B134" s="248"/>
      <c r="C134" s="248"/>
      <c r="D134" s="249" t="s">
        <v>328</v>
      </c>
      <c r="E134" s="249" t="s">
        <v>329</v>
      </c>
      <c r="F134" s="249" t="s">
        <v>330</v>
      </c>
      <c r="G134" s="249" t="s">
        <v>331</v>
      </c>
      <c r="H134" s="250"/>
    </row>
    <row r="135" spans="1:8" ht="18">
      <c r="A135" s="258" t="s">
        <v>254</v>
      </c>
      <c r="B135" s="259"/>
      <c r="C135" s="259"/>
      <c r="D135" s="260"/>
      <c r="E135" s="260"/>
      <c r="F135" s="260"/>
      <c r="G135" s="260"/>
      <c r="H135" s="255"/>
    </row>
    <row r="136" spans="1:8" ht="14.25">
      <c r="A136" s="252" t="s">
        <v>245</v>
      </c>
      <c r="B136" s="261"/>
      <c r="C136" s="261"/>
      <c r="D136" s="209"/>
      <c r="E136" s="209"/>
      <c r="F136" s="209"/>
      <c r="G136" s="209"/>
      <c r="H136" s="255"/>
    </row>
    <row r="137" spans="1:8" ht="14.25">
      <c r="A137" s="252" t="s">
        <v>246</v>
      </c>
      <c r="B137" s="261"/>
      <c r="C137" s="261"/>
      <c r="D137" s="209"/>
      <c r="E137" s="209"/>
      <c r="F137" s="209"/>
      <c r="G137" s="209"/>
      <c r="H137" s="255"/>
    </row>
    <row r="138" spans="1:8" ht="14.25">
      <c r="A138" s="252" t="s">
        <v>255</v>
      </c>
      <c r="B138" s="261"/>
      <c r="C138" s="261"/>
      <c r="D138" s="254">
        <f>(E16+E30)</f>
        <v>1810861857.6</v>
      </c>
      <c r="E138" s="254">
        <f>(O16+O30)</f>
        <v>1744890405.3408</v>
      </c>
      <c r="F138" s="254">
        <f>(Y16+Y30)</f>
        <v>1731650273.4905663</v>
      </c>
      <c r="G138" s="254">
        <f>(AI16+AI30)</f>
        <v>1516697388.5904295</v>
      </c>
      <c r="H138" s="255"/>
    </row>
    <row r="139" spans="1:8" ht="14.25">
      <c r="A139" s="256" t="s">
        <v>256</v>
      </c>
      <c r="B139" s="261"/>
      <c r="C139" s="261"/>
      <c r="D139" s="254">
        <f>E90+E94</f>
        <v>811200000</v>
      </c>
      <c r="E139" s="254">
        <f>O90+O94</f>
        <v>858253078.3561643</v>
      </c>
      <c r="F139" s="254">
        <f>Y90+Y94</f>
        <v>902658809.7008219</v>
      </c>
      <c r="G139" s="254">
        <f>AI90+AI94</f>
        <v>16345108.918934798</v>
      </c>
      <c r="H139" s="255"/>
    </row>
    <row r="140" spans="1:8" ht="14.25">
      <c r="A140" s="256" t="s">
        <v>248</v>
      </c>
      <c r="B140" s="261"/>
      <c r="C140" s="261"/>
      <c r="D140" s="254">
        <f>E55</f>
        <v>339600000</v>
      </c>
      <c r="E140" s="254">
        <f>O55</f>
        <v>289600000</v>
      </c>
      <c r="F140" s="254">
        <f>Y55</f>
        <v>289600000</v>
      </c>
      <c r="G140" s="254">
        <f>AI55</f>
        <v>349600000</v>
      </c>
      <c r="H140" s="255"/>
    </row>
    <row r="141" spans="1:8" ht="14.25">
      <c r="A141" s="256" t="s">
        <v>249</v>
      </c>
      <c r="B141" s="261"/>
      <c r="C141" s="261"/>
      <c r="D141" s="254"/>
      <c r="E141" s="254"/>
      <c r="F141" s="254"/>
      <c r="G141" s="254"/>
      <c r="H141" s="255"/>
    </row>
    <row r="142" spans="1:8" ht="14.25">
      <c r="A142" s="257" t="s">
        <v>257</v>
      </c>
      <c r="B142" s="261"/>
      <c r="C142" s="261"/>
      <c r="D142" s="254">
        <f>(E82+E100)</f>
        <v>130633506</v>
      </c>
      <c r="E142" s="254">
        <f>O82+O100</f>
        <v>54466654</v>
      </c>
      <c r="F142" s="254">
        <f>Y82+Y100</f>
        <v>449538719.932</v>
      </c>
      <c r="G142" s="254">
        <f>AI82+AI100</f>
        <v>207030928.508856</v>
      </c>
      <c r="H142" s="255"/>
    </row>
    <row r="143" spans="1:8" ht="14.25">
      <c r="A143" s="256" t="s">
        <v>251</v>
      </c>
      <c r="B143" s="261"/>
      <c r="C143" s="261"/>
      <c r="D143" s="254"/>
      <c r="E143" s="254"/>
      <c r="F143" s="254"/>
      <c r="G143" s="254"/>
      <c r="H143" s="255"/>
    </row>
    <row r="144" spans="1:8" ht="14.25">
      <c r="A144" s="256" t="s">
        <v>252</v>
      </c>
      <c r="B144" s="261"/>
      <c r="C144" s="261"/>
      <c r="D144" s="254">
        <f>E44</f>
        <v>442850000</v>
      </c>
      <c r="E144" s="254">
        <f>O44</f>
        <v>0</v>
      </c>
      <c r="F144" s="254">
        <f>Y44</f>
        <v>0</v>
      </c>
      <c r="G144" s="254">
        <f>AI44</f>
        <v>0</v>
      </c>
      <c r="H144" s="255"/>
    </row>
    <row r="145" spans="1:8" ht="14.25">
      <c r="A145" s="257" t="s">
        <v>258</v>
      </c>
      <c r="B145" s="261"/>
      <c r="C145" s="261"/>
      <c r="D145" s="254">
        <f>E66+E109</f>
        <v>713930000</v>
      </c>
      <c r="E145" s="254">
        <f>O66+O109</f>
        <v>381060960</v>
      </c>
      <c r="F145" s="254">
        <f>Y66+Y109</f>
        <v>399707349.76</v>
      </c>
      <c r="G145" s="254">
        <f>AI66+AI109</f>
        <v>364202662.6104</v>
      </c>
      <c r="H145" s="255"/>
    </row>
    <row r="146" spans="1:8" ht="18">
      <c r="A146" s="258" t="s">
        <v>254</v>
      </c>
      <c r="B146" s="259"/>
      <c r="C146" s="259"/>
      <c r="D146" s="260">
        <f>SUM(D138:D145)</f>
        <v>4249075363.6</v>
      </c>
      <c r="E146" s="260">
        <f>SUM(E138:E145)</f>
        <v>3328271097.6969643</v>
      </c>
      <c r="F146" s="260">
        <f>SUM(F138:F145)</f>
        <v>3773155152.8833885</v>
      </c>
      <c r="G146" s="260">
        <f>SUM(G138:G145)</f>
        <v>2453876088.6286206</v>
      </c>
      <c r="H146" s="352">
        <f>SUM(D146:G146)</f>
        <v>13804377702.808973</v>
      </c>
    </row>
    <row r="147" spans="4:8" ht="14.25">
      <c r="D147" s="286"/>
      <c r="E147" s="286"/>
      <c r="F147" s="286"/>
      <c r="G147" s="286"/>
      <c r="H147" s="286"/>
    </row>
    <row r="148" spans="4:8" ht="14.25">
      <c r="D148" s="286"/>
      <c r="E148" s="286"/>
      <c r="F148" s="286"/>
      <c r="G148" s="286"/>
      <c r="H148" s="286"/>
    </row>
    <row r="149" spans="1:12" ht="38.25">
      <c r="A149" s="430" t="s">
        <v>260</v>
      </c>
      <c r="B149" s="262"/>
      <c r="C149" s="262"/>
      <c r="D149" s="263" t="s">
        <v>261</v>
      </c>
      <c r="E149" s="251" t="s">
        <v>283</v>
      </c>
      <c r="F149" s="251" t="s">
        <v>277</v>
      </c>
      <c r="G149" s="382" t="s">
        <v>316</v>
      </c>
      <c r="H149" s="251" t="s">
        <v>274</v>
      </c>
      <c r="I149" s="382" t="s">
        <v>1</v>
      </c>
      <c r="J149" s="370"/>
      <c r="L149" s="123"/>
    </row>
    <row r="150" spans="1:12" ht="12.75">
      <c r="A150" s="431"/>
      <c r="B150" s="264"/>
      <c r="C150" s="264"/>
      <c r="D150" s="265" t="s">
        <v>25</v>
      </c>
      <c r="E150" s="265" t="s">
        <v>64</v>
      </c>
      <c r="F150" s="266" t="s">
        <v>278</v>
      </c>
      <c r="G150" s="383"/>
      <c r="H150" s="266" t="s">
        <v>25</v>
      </c>
      <c r="I150" s="383"/>
      <c r="J150" s="370"/>
      <c r="L150" s="123"/>
    </row>
    <row r="151" spans="1:12" ht="14.25">
      <c r="A151" s="302"/>
      <c r="B151" s="253"/>
      <c r="C151" s="253"/>
      <c r="D151" s="303"/>
      <c r="E151" s="303"/>
      <c r="F151" s="303"/>
      <c r="G151" s="303"/>
      <c r="H151" s="303"/>
      <c r="J151" s="303"/>
      <c r="L151" s="123"/>
    </row>
    <row r="152" spans="1:12" ht="14.25">
      <c r="A152" s="256" t="s">
        <v>262</v>
      </c>
      <c r="B152" s="253"/>
      <c r="C152" s="253"/>
      <c r="D152" s="283">
        <f>F111</f>
        <v>3118364000</v>
      </c>
      <c r="E152" s="283">
        <f>H111</f>
        <v>543830857.6</v>
      </c>
      <c r="F152" s="283">
        <f>I111-H152</f>
        <v>561806074</v>
      </c>
      <c r="G152" s="123">
        <f>D152+E152+F152</f>
        <v>4224000931.6</v>
      </c>
      <c r="H152" s="283">
        <v>25074432</v>
      </c>
      <c r="I152" s="123">
        <f>G152+H152</f>
        <v>4249075363.6</v>
      </c>
      <c r="J152" s="283"/>
      <c r="L152" s="287"/>
    </row>
    <row r="153" spans="1:12" ht="14.25">
      <c r="A153" s="256" t="s">
        <v>263</v>
      </c>
      <c r="B153" s="253"/>
      <c r="C153" s="253"/>
      <c r="D153" s="283">
        <f>P111</f>
        <v>2715898510.3561645</v>
      </c>
      <c r="E153" s="283">
        <f>R111</f>
        <v>84764907.3408</v>
      </c>
      <c r="F153" s="283">
        <f>S111+T111-H153</f>
        <v>464445248</v>
      </c>
      <c r="G153" s="123">
        <f>D153+E153+F153</f>
        <v>3265108665.6969643</v>
      </c>
      <c r="H153" s="283">
        <f>T111+25074432</f>
        <v>63162432</v>
      </c>
      <c r="I153" s="123">
        <f>G153+H153</f>
        <v>3328271097.6969643</v>
      </c>
      <c r="J153" s="283"/>
      <c r="L153" s="287"/>
    </row>
    <row r="154" spans="1:12" ht="14.25">
      <c r="A154" s="256" t="s">
        <v>370</v>
      </c>
      <c r="B154" s="253"/>
      <c r="C154" s="253"/>
      <c r="D154" s="283">
        <f>Z111</f>
        <v>3261330570.836822</v>
      </c>
      <c r="E154" s="283">
        <f>AB111</f>
        <v>90210726.04656641</v>
      </c>
      <c r="F154" s="283">
        <f>AC111+AD111-H154</f>
        <v>356242320</v>
      </c>
      <c r="G154" s="123">
        <f>D154+E154+F154</f>
        <v>3707783616.8833885</v>
      </c>
      <c r="H154" s="283">
        <f>AD111+25074432</f>
        <v>65371536</v>
      </c>
      <c r="I154" s="123">
        <f>G154+H154</f>
        <v>3773155152.8833885</v>
      </c>
      <c r="J154" s="283"/>
      <c r="L154" s="287"/>
    </row>
    <row r="155" spans="1:12" ht="14.25">
      <c r="A155" s="256" t="s">
        <v>371</v>
      </c>
      <c r="B155" s="253"/>
      <c r="C155" s="253"/>
      <c r="D155" s="283">
        <f>AJ111</f>
        <v>1935152200.021303</v>
      </c>
      <c r="E155" s="283">
        <f>AL111</f>
        <v>98777234.15451762</v>
      </c>
      <c r="F155" s="283">
        <f>AM111+AN111-H155</f>
        <v>373555054.4368</v>
      </c>
      <c r="G155" s="354">
        <f>D155+E155+F155</f>
        <v>2407484488.6126204</v>
      </c>
      <c r="H155" s="283">
        <f>AN111+25074432</f>
        <v>46391600.016</v>
      </c>
      <c r="I155" s="123">
        <f>G155+H155</f>
        <v>2453876088.62862</v>
      </c>
      <c r="J155" s="283"/>
      <c r="L155" s="353"/>
    </row>
    <row r="156" spans="1:12" ht="14.25">
      <c r="A156" s="267" t="s">
        <v>1</v>
      </c>
      <c r="B156" s="248"/>
      <c r="C156" s="248"/>
      <c r="D156" s="284">
        <f>SUM(D152:D155)</f>
        <v>11030745281.21429</v>
      </c>
      <c r="E156" s="284">
        <f>SUM(E152:E155)</f>
        <v>817583725.1418841</v>
      </c>
      <c r="F156" s="284">
        <f>SUM(F152:F155)</f>
        <v>1756048696.4368</v>
      </c>
      <c r="G156" s="355">
        <f>D156+E156+F156</f>
        <v>13604377702.792974</v>
      </c>
      <c r="H156" s="284">
        <f>SUM(H152:H155)</f>
        <v>200000000.016</v>
      </c>
      <c r="I156" s="284">
        <f>SUM(I152:I155)</f>
        <v>13804377702.808973</v>
      </c>
      <c r="J156" s="283"/>
      <c r="L156" s="287"/>
    </row>
    <row r="157" ht="14.25">
      <c r="I157" s="286"/>
    </row>
    <row r="158" ht="14.25">
      <c r="G158" s="123">
        <f>200000000-H156</f>
        <v>-0.01600000262260437</v>
      </c>
    </row>
    <row r="159" ht="14.25">
      <c r="G159" s="123">
        <f>+G158/4</f>
        <v>-0.0040000006556510925</v>
      </c>
    </row>
    <row r="160" spans="1:87" ht="25.5">
      <c r="A160" s="294" t="s">
        <v>284</v>
      </c>
      <c r="B160" s="295" t="s">
        <v>319</v>
      </c>
      <c r="C160" s="295" t="s">
        <v>318</v>
      </c>
      <c r="D160" s="295" t="s">
        <v>320</v>
      </c>
      <c r="E160" s="295" t="s">
        <v>300</v>
      </c>
      <c r="F160" s="295" t="s">
        <v>301</v>
      </c>
      <c r="G160" s="319" t="s">
        <v>332</v>
      </c>
      <c r="H160" s="320" t="s">
        <v>333</v>
      </c>
      <c r="I160" s="320" t="s">
        <v>334</v>
      </c>
      <c r="J160" s="319" t="s">
        <v>335</v>
      </c>
      <c r="K160" s="123"/>
      <c r="L160" s="123"/>
      <c r="M160" s="123"/>
      <c r="P160" s="124"/>
      <c r="Q160" s="124"/>
      <c r="R160" s="126"/>
      <c r="S160" s="126"/>
      <c r="T160" s="126"/>
      <c r="U160" s="126"/>
      <c r="AA160" s="124"/>
      <c r="AE160" s="126"/>
      <c r="AK160" s="124"/>
      <c r="AO160" s="126"/>
      <c r="AV160" s="6"/>
      <c r="AW160" s="6"/>
      <c r="AX160" s="6"/>
      <c r="AY160" s="6"/>
      <c r="CF160"/>
      <c r="CG160"/>
      <c r="CH160"/>
      <c r="CI160"/>
    </row>
    <row r="161" spans="1:87" ht="15.75">
      <c r="A161" s="296" t="s">
        <v>285</v>
      </c>
      <c r="B161" s="299">
        <v>70</v>
      </c>
      <c r="C161" s="299">
        <v>40</v>
      </c>
      <c r="D161" s="122">
        <f>B161+C161</f>
        <v>110</v>
      </c>
      <c r="E161" s="235">
        <f>D161/$D$174</f>
        <v>0.055</v>
      </c>
      <c r="F161" s="122">
        <f>F$174*$E161</f>
        <v>11000000.000880001</v>
      </c>
      <c r="G161" s="122">
        <f>G$174*$E161</f>
        <v>1379093.76</v>
      </c>
      <c r="H161" s="122">
        <f>H$174*$E161</f>
        <v>3473933.7600000002</v>
      </c>
      <c r="I161" s="122">
        <f>I$174*$E161</f>
        <v>3595434.48</v>
      </c>
      <c r="J161" s="122">
        <f>J$174*$E161</f>
        <v>2551538.00088</v>
      </c>
      <c r="K161" s="123"/>
      <c r="L161" s="123"/>
      <c r="M161" s="123"/>
      <c r="P161" s="124"/>
      <c r="Q161" s="124"/>
      <c r="R161" s="126"/>
      <c r="S161" s="126"/>
      <c r="T161" s="126"/>
      <c r="U161" s="126"/>
      <c r="AA161" s="124"/>
      <c r="AE161" s="126"/>
      <c r="AK161" s="124"/>
      <c r="AO161" s="126"/>
      <c r="AV161" s="6"/>
      <c r="AW161" s="6"/>
      <c r="AX161" s="6"/>
      <c r="AY161" s="6"/>
      <c r="CF161"/>
      <c r="CG161"/>
      <c r="CH161"/>
      <c r="CI161"/>
    </row>
    <row r="162" spans="1:87" ht="15.75">
      <c r="A162" s="296" t="s">
        <v>286</v>
      </c>
      <c r="B162" s="299">
        <v>105</v>
      </c>
      <c r="C162" s="299">
        <v>40</v>
      </c>
      <c r="D162" s="122">
        <f aca="true" t="shared" si="106" ref="D162:D173">B162+C162</f>
        <v>145</v>
      </c>
      <c r="E162" s="235">
        <f aca="true" t="shared" si="107" ref="E162:E174">D162/$D$174</f>
        <v>0.0725</v>
      </c>
      <c r="F162" s="122">
        <f aca="true" t="shared" si="108" ref="F162:J173">F$174*$E162</f>
        <v>14500000.00116</v>
      </c>
      <c r="G162" s="122">
        <f t="shared" si="108"/>
        <v>1817896.3199999998</v>
      </c>
      <c r="H162" s="122">
        <f t="shared" si="108"/>
        <v>4579276.319999999</v>
      </c>
      <c r="I162" s="122">
        <f t="shared" si="108"/>
        <v>4739436.359999999</v>
      </c>
      <c r="J162" s="122">
        <f t="shared" si="108"/>
        <v>3363391.00116</v>
      </c>
      <c r="K162" s="123"/>
      <c r="L162" s="123"/>
      <c r="M162" s="123"/>
      <c r="P162" s="124"/>
      <c r="Q162" s="124"/>
      <c r="R162" s="126"/>
      <c r="S162" s="126"/>
      <c r="T162" s="126"/>
      <c r="U162" s="126"/>
      <c r="AA162" s="124"/>
      <c r="AE162" s="126"/>
      <c r="AK162" s="124"/>
      <c r="AO162" s="126"/>
      <c r="AV162" s="6"/>
      <c r="AW162" s="6"/>
      <c r="AX162" s="6"/>
      <c r="AY162" s="6"/>
      <c r="CF162"/>
      <c r="CG162"/>
      <c r="CH162"/>
      <c r="CI162"/>
    </row>
    <row r="163" spans="1:87" ht="15.75">
      <c r="A163" s="296" t="s">
        <v>287</v>
      </c>
      <c r="B163" s="299">
        <v>120</v>
      </c>
      <c r="C163" s="299">
        <v>40</v>
      </c>
      <c r="D163" s="122">
        <f t="shared" si="106"/>
        <v>160</v>
      </c>
      <c r="E163" s="235">
        <f t="shared" si="107"/>
        <v>0.08</v>
      </c>
      <c r="F163" s="122">
        <f t="shared" si="108"/>
        <v>16000000.00128</v>
      </c>
      <c r="G163" s="122">
        <f t="shared" si="108"/>
        <v>2005954.56</v>
      </c>
      <c r="H163" s="122">
        <f t="shared" si="108"/>
        <v>5052994.5600000005</v>
      </c>
      <c r="I163" s="122">
        <f t="shared" si="108"/>
        <v>5229722.88</v>
      </c>
      <c r="J163" s="122">
        <f t="shared" si="108"/>
        <v>3711328.0012800004</v>
      </c>
      <c r="K163" s="123"/>
      <c r="L163" s="123"/>
      <c r="M163" s="123"/>
      <c r="P163" s="124"/>
      <c r="Q163" s="124"/>
      <c r="R163" s="126"/>
      <c r="S163" s="126"/>
      <c r="T163" s="126"/>
      <c r="U163" s="126"/>
      <c r="AA163" s="124"/>
      <c r="AE163" s="126"/>
      <c r="AK163" s="124"/>
      <c r="AO163" s="126"/>
      <c r="AV163" s="6"/>
      <c r="AW163" s="6"/>
      <c r="AX163" s="6"/>
      <c r="AY163" s="6"/>
      <c r="CF163"/>
      <c r="CG163"/>
      <c r="CH163"/>
      <c r="CI163"/>
    </row>
    <row r="164" spans="1:87" ht="15.75">
      <c r="A164" s="296" t="s">
        <v>288</v>
      </c>
      <c r="B164" s="299">
        <v>80</v>
      </c>
      <c r="C164" s="299">
        <v>40</v>
      </c>
      <c r="D164" s="122">
        <f t="shared" si="106"/>
        <v>120</v>
      </c>
      <c r="E164" s="235">
        <f t="shared" si="107"/>
        <v>0.06</v>
      </c>
      <c r="F164" s="122">
        <f t="shared" si="108"/>
        <v>12000000.00096</v>
      </c>
      <c r="G164" s="122">
        <f t="shared" si="108"/>
        <v>1504465.92</v>
      </c>
      <c r="H164" s="122">
        <f t="shared" si="108"/>
        <v>3789745.92</v>
      </c>
      <c r="I164" s="122">
        <f t="shared" si="108"/>
        <v>3922292.1599999997</v>
      </c>
      <c r="J164" s="122">
        <f t="shared" si="108"/>
        <v>2783496.00096</v>
      </c>
      <c r="K164" s="123"/>
      <c r="L164" s="123"/>
      <c r="M164" s="123"/>
      <c r="P164" s="124"/>
      <c r="Q164" s="124"/>
      <c r="R164" s="126"/>
      <c r="S164" s="126"/>
      <c r="T164" s="126"/>
      <c r="U164" s="126"/>
      <c r="AA164" s="124"/>
      <c r="AE164" s="126"/>
      <c r="AK164" s="124"/>
      <c r="AO164" s="126"/>
      <c r="AV164" s="6"/>
      <c r="AW164" s="6"/>
      <c r="AX164" s="6"/>
      <c r="AY164" s="6"/>
      <c r="CF164"/>
      <c r="CG164"/>
      <c r="CH164"/>
      <c r="CI164"/>
    </row>
    <row r="165" spans="1:87" ht="15.75">
      <c r="A165" s="296" t="s">
        <v>289</v>
      </c>
      <c r="B165" s="299">
        <v>120</v>
      </c>
      <c r="C165" s="299">
        <v>40</v>
      </c>
      <c r="D165" s="122">
        <f t="shared" si="106"/>
        <v>160</v>
      </c>
      <c r="E165" s="235">
        <f t="shared" si="107"/>
        <v>0.08</v>
      </c>
      <c r="F165" s="122">
        <f t="shared" si="108"/>
        <v>16000000.00128</v>
      </c>
      <c r="G165" s="122">
        <f t="shared" si="108"/>
        <v>2005954.56</v>
      </c>
      <c r="H165" s="122">
        <f t="shared" si="108"/>
        <v>5052994.5600000005</v>
      </c>
      <c r="I165" s="122">
        <f t="shared" si="108"/>
        <v>5229722.88</v>
      </c>
      <c r="J165" s="122">
        <f t="shared" si="108"/>
        <v>3711328.0012800004</v>
      </c>
      <c r="K165" s="123"/>
      <c r="L165" s="123"/>
      <c r="M165" s="123"/>
      <c r="P165" s="124"/>
      <c r="Q165" s="124"/>
      <c r="R165" s="126"/>
      <c r="S165" s="126"/>
      <c r="T165" s="126"/>
      <c r="U165" s="126"/>
      <c r="AA165" s="124"/>
      <c r="AE165" s="126"/>
      <c r="AK165" s="124"/>
      <c r="AO165" s="126"/>
      <c r="AV165" s="6"/>
      <c r="AW165" s="6"/>
      <c r="AX165" s="6"/>
      <c r="AY165" s="6"/>
      <c r="CF165"/>
      <c r="CG165"/>
      <c r="CH165"/>
      <c r="CI165"/>
    </row>
    <row r="166" spans="1:87" ht="15.75">
      <c r="A166" s="296" t="s">
        <v>290</v>
      </c>
      <c r="B166" s="299">
        <v>70</v>
      </c>
      <c r="C166" s="299">
        <v>40</v>
      </c>
      <c r="D166" s="122">
        <f t="shared" si="106"/>
        <v>110</v>
      </c>
      <c r="E166" s="235">
        <f t="shared" si="107"/>
        <v>0.055</v>
      </c>
      <c r="F166" s="122">
        <f t="shared" si="108"/>
        <v>11000000.000880001</v>
      </c>
      <c r="G166" s="122">
        <f t="shared" si="108"/>
        <v>1379093.76</v>
      </c>
      <c r="H166" s="122">
        <f t="shared" si="108"/>
        <v>3473933.7600000002</v>
      </c>
      <c r="I166" s="122">
        <f t="shared" si="108"/>
        <v>3595434.48</v>
      </c>
      <c r="J166" s="122">
        <f t="shared" si="108"/>
        <v>2551538.00088</v>
      </c>
      <c r="K166" s="123"/>
      <c r="L166" s="123"/>
      <c r="M166" s="123"/>
      <c r="P166" s="124"/>
      <c r="Q166" s="124"/>
      <c r="R166" s="126"/>
      <c r="S166" s="126"/>
      <c r="T166" s="126"/>
      <c r="U166" s="126"/>
      <c r="AA166" s="124"/>
      <c r="AE166" s="126"/>
      <c r="AK166" s="124"/>
      <c r="AO166" s="126"/>
      <c r="AV166" s="6"/>
      <c r="AW166" s="6"/>
      <c r="AX166" s="6"/>
      <c r="AY166" s="6"/>
      <c r="CF166"/>
      <c r="CG166"/>
      <c r="CH166"/>
      <c r="CI166"/>
    </row>
    <row r="167" spans="1:87" ht="15.75">
      <c r="A167" s="296" t="s">
        <v>291</v>
      </c>
      <c r="B167" s="299">
        <v>200</v>
      </c>
      <c r="C167" s="299">
        <v>80</v>
      </c>
      <c r="D167" s="122">
        <f t="shared" si="106"/>
        <v>280</v>
      </c>
      <c r="E167" s="235">
        <f t="shared" si="107"/>
        <v>0.14</v>
      </c>
      <c r="F167" s="122">
        <f t="shared" si="108"/>
        <v>28000000.002240002</v>
      </c>
      <c r="G167" s="122">
        <f t="shared" si="108"/>
        <v>3510420.4800000004</v>
      </c>
      <c r="H167" s="122">
        <f t="shared" si="108"/>
        <v>8842740.48</v>
      </c>
      <c r="I167" s="122">
        <f t="shared" si="108"/>
        <v>9152015.040000001</v>
      </c>
      <c r="J167" s="122">
        <f t="shared" si="108"/>
        <v>6494824.002240001</v>
      </c>
      <c r="K167" s="123"/>
      <c r="L167" s="123"/>
      <c r="M167" s="123"/>
      <c r="P167" s="124"/>
      <c r="Q167" s="124"/>
      <c r="R167" s="126"/>
      <c r="S167" s="126"/>
      <c r="T167" s="126"/>
      <c r="U167" s="126"/>
      <c r="AA167" s="124"/>
      <c r="AE167" s="126"/>
      <c r="AK167" s="124"/>
      <c r="AO167" s="126"/>
      <c r="AV167" s="6"/>
      <c r="AW167" s="6"/>
      <c r="AX167" s="6"/>
      <c r="AY167" s="6"/>
      <c r="CF167"/>
      <c r="CG167"/>
      <c r="CH167"/>
      <c r="CI167"/>
    </row>
    <row r="168" spans="1:87" ht="15.75">
      <c r="A168" s="297" t="s">
        <v>292</v>
      </c>
      <c r="B168" s="299">
        <v>190</v>
      </c>
      <c r="C168" s="299">
        <v>80</v>
      </c>
      <c r="D168" s="122">
        <f t="shared" si="106"/>
        <v>270</v>
      </c>
      <c r="E168" s="235">
        <f t="shared" si="107"/>
        <v>0.135</v>
      </c>
      <c r="F168" s="122">
        <f t="shared" si="108"/>
        <v>27000000.00216</v>
      </c>
      <c r="G168" s="122">
        <f t="shared" si="108"/>
        <v>3385048.3200000003</v>
      </c>
      <c r="H168" s="122">
        <f t="shared" si="108"/>
        <v>8526928.32</v>
      </c>
      <c r="I168" s="122">
        <f t="shared" si="108"/>
        <v>8825157.360000001</v>
      </c>
      <c r="J168" s="122">
        <f t="shared" si="108"/>
        <v>6262866.002160001</v>
      </c>
      <c r="K168" s="123"/>
      <c r="L168" s="123"/>
      <c r="M168" s="123"/>
      <c r="P168" s="124"/>
      <c r="Q168" s="124"/>
      <c r="R168" s="126"/>
      <c r="S168" s="126"/>
      <c r="T168" s="126"/>
      <c r="U168" s="126"/>
      <c r="AA168" s="124"/>
      <c r="AE168" s="126"/>
      <c r="AK168" s="124"/>
      <c r="AO168" s="126"/>
      <c r="AV168" s="6"/>
      <c r="AW168" s="6"/>
      <c r="AX168" s="6"/>
      <c r="AY168" s="6"/>
      <c r="CF168"/>
      <c r="CG168"/>
      <c r="CH168"/>
      <c r="CI168"/>
    </row>
    <row r="169" spans="1:87" ht="15" customHeight="1">
      <c r="A169" s="298" t="s">
        <v>293</v>
      </c>
      <c r="B169" s="299">
        <v>70</v>
      </c>
      <c r="C169" s="299">
        <v>40</v>
      </c>
      <c r="D169" s="122">
        <f t="shared" si="106"/>
        <v>110</v>
      </c>
      <c r="E169" s="235">
        <f t="shared" si="107"/>
        <v>0.055</v>
      </c>
      <c r="F169" s="122">
        <f t="shared" si="108"/>
        <v>11000000.000880001</v>
      </c>
      <c r="G169" s="122">
        <f t="shared" si="108"/>
        <v>1379093.76</v>
      </c>
      <c r="H169" s="122">
        <f t="shared" si="108"/>
        <v>3473933.7600000002</v>
      </c>
      <c r="I169" s="122">
        <f t="shared" si="108"/>
        <v>3595434.48</v>
      </c>
      <c r="J169" s="122">
        <f t="shared" si="108"/>
        <v>2551538.00088</v>
      </c>
      <c r="K169" s="123"/>
      <c r="L169" s="123"/>
      <c r="M169" s="123"/>
      <c r="P169" s="124"/>
      <c r="Q169" s="124"/>
      <c r="R169" s="126"/>
      <c r="S169" s="126"/>
      <c r="T169" s="126"/>
      <c r="U169" s="126"/>
      <c r="AA169" s="124"/>
      <c r="AE169" s="126"/>
      <c r="AK169" s="124"/>
      <c r="AO169" s="126"/>
      <c r="AV169" s="6"/>
      <c r="AW169" s="6"/>
      <c r="AX169" s="6"/>
      <c r="AY169" s="6"/>
      <c r="CF169"/>
      <c r="CG169"/>
      <c r="CH169"/>
      <c r="CI169"/>
    </row>
    <row r="170" spans="1:87" ht="15" customHeight="1">
      <c r="A170" s="298" t="s">
        <v>294</v>
      </c>
      <c r="B170" s="299">
        <v>105</v>
      </c>
      <c r="C170" s="299">
        <v>40</v>
      </c>
      <c r="D170" s="122">
        <f t="shared" si="106"/>
        <v>145</v>
      </c>
      <c r="E170" s="235">
        <f t="shared" si="107"/>
        <v>0.0725</v>
      </c>
      <c r="F170" s="122">
        <f t="shared" si="108"/>
        <v>14500000.00116</v>
      </c>
      <c r="G170" s="122">
        <f t="shared" si="108"/>
        <v>1817896.3199999998</v>
      </c>
      <c r="H170" s="122">
        <f t="shared" si="108"/>
        <v>4579276.319999999</v>
      </c>
      <c r="I170" s="122">
        <f t="shared" si="108"/>
        <v>4739436.359999999</v>
      </c>
      <c r="J170" s="122">
        <f t="shared" si="108"/>
        <v>3363391.00116</v>
      </c>
      <c r="K170" s="123"/>
      <c r="L170" s="123"/>
      <c r="M170" s="123"/>
      <c r="P170" s="124"/>
      <c r="Q170" s="124"/>
      <c r="R170" s="126"/>
      <c r="S170" s="126"/>
      <c r="T170" s="126"/>
      <c r="U170" s="126"/>
      <c r="AA170" s="124"/>
      <c r="AE170" s="126"/>
      <c r="AK170" s="124"/>
      <c r="AO170" s="126"/>
      <c r="AV170" s="6"/>
      <c r="AW170" s="6"/>
      <c r="AX170" s="6"/>
      <c r="AY170" s="6"/>
      <c r="CF170"/>
      <c r="CG170"/>
      <c r="CH170"/>
      <c r="CI170"/>
    </row>
    <row r="171" spans="1:87" ht="15" customHeight="1">
      <c r="A171" s="298" t="s">
        <v>295</v>
      </c>
      <c r="B171" s="299">
        <v>70</v>
      </c>
      <c r="C171" s="299">
        <v>40</v>
      </c>
      <c r="D171" s="122">
        <f t="shared" si="106"/>
        <v>110</v>
      </c>
      <c r="E171" s="235">
        <f t="shared" si="107"/>
        <v>0.055</v>
      </c>
      <c r="F171" s="122">
        <f t="shared" si="108"/>
        <v>11000000.000880001</v>
      </c>
      <c r="G171" s="122">
        <f t="shared" si="108"/>
        <v>1379093.76</v>
      </c>
      <c r="H171" s="122">
        <f t="shared" si="108"/>
        <v>3473933.7600000002</v>
      </c>
      <c r="I171" s="122">
        <f t="shared" si="108"/>
        <v>3595434.48</v>
      </c>
      <c r="J171" s="122">
        <f t="shared" si="108"/>
        <v>2551538.00088</v>
      </c>
      <c r="K171" s="123"/>
      <c r="L171" s="123"/>
      <c r="M171" s="123"/>
      <c r="P171" s="124"/>
      <c r="Q171" s="124"/>
      <c r="R171" s="126"/>
      <c r="S171" s="126"/>
      <c r="T171" s="126"/>
      <c r="U171" s="126"/>
      <c r="AA171" s="124"/>
      <c r="AE171" s="126"/>
      <c r="AK171" s="124"/>
      <c r="AO171" s="126"/>
      <c r="AV171" s="6"/>
      <c r="AW171" s="6"/>
      <c r="AX171" s="6"/>
      <c r="AY171" s="6"/>
      <c r="CF171"/>
      <c r="CG171"/>
      <c r="CH171"/>
      <c r="CI171"/>
    </row>
    <row r="172" spans="1:87" ht="15" customHeight="1">
      <c r="A172" s="298" t="s">
        <v>296</v>
      </c>
      <c r="B172" s="299">
        <v>60</v>
      </c>
      <c r="C172" s="299">
        <v>40</v>
      </c>
      <c r="D172" s="122">
        <f t="shared" si="106"/>
        <v>100</v>
      </c>
      <c r="E172" s="235">
        <f t="shared" si="107"/>
        <v>0.05</v>
      </c>
      <c r="F172" s="122">
        <f t="shared" si="108"/>
        <v>10000000.0008</v>
      </c>
      <c r="G172" s="122">
        <f t="shared" si="108"/>
        <v>1253721.6</v>
      </c>
      <c r="H172" s="122">
        <f t="shared" si="108"/>
        <v>3158121.6</v>
      </c>
      <c r="I172" s="122">
        <f t="shared" si="108"/>
        <v>3268576.8000000003</v>
      </c>
      <c r="J172" s="122">
        <f t="shared" si="108"/>
        <v>2319580.0008</v>
      </c>
      <c r="K172" s="123"/>
      <c r="L172" s="123"/>
      <c r="M172" s="123"/>
      <c r="P172" s="124"/>
      <c r="Q172" s="124"/>
      <c r="R172" s="126"/>
      <c r="S172" s="126"/>
      <c r="T172" s="126"/>
      <c r="U172" s="126"/>
      <c r="AA172" s="124"/>
      <c r="AE172" s="126"/>
      <c r="AK172" s="124"/>
      <c r="AO172" s="126"/>
      <c r="AV172" s="6"/>
      <c r="AW172" s="6"/>
      <c r="AX172" s="6"/>
      <c r="AY172" s="6"/>
      <c r="CF172"/>
      <c r="CG172"/>
      <c r="CH172"/>
      <c r="CI172"/>
    </row>
    <row r="173" spans="1:87" ht="15" customHeight="1">
      <c r="A173" s="298" t="s">
        <v>297</v>
      </c>
      <c r="B173" s="299">
        <v>140</v>
      </c>
      <c r="C173" s="299">
        <v>40</v>
      </c>
      <c r="D173" s="122">
        <f t="shared" si="106"/>
        <v>180</v>
      </c>
      <c r="E173" s="235">
        <f t="shared" si="107"/>
        <v>0.09</v>
      </c>
      <c r="F173" s="122">
        <f t="shared" si="108"/>
        <v>18000000.00144</v>
      </c>
      <c r="G173" s="122">
        <f t="shared" si="108"/>
        <v>2256698.88</v>
      </c>
      <c r="H173" s="122">
        <f t="shared" si="108"/>
        <v>5684618.88</v>
      </c>
      <c r="I173" s="122">
        <f t="shared" si="108"/>
        <v>5883438.24</v>
      </c>
      <c r="J173" s="122">
        <f t="shared" si="108"/>
        <v>4175244.0014400003</v>
      </c>
      <c r="K173" s="123"/>
      <c r="L173" s="123"/>
      <c r="M173" s="123"/>
      <c r="P173" s="124"/>
      <c r="Q173" s="124"/>
      <c r="R173" s="126"/>
      <c r="S173" s="126"/>
      <c r="T173" s="126"/>
      <c r="U173" s="126"/>
      <c r="AA173" s="124"/>
      <c r="AE173" s="126"/>
      <c r="AK173" s="124"/>
      <c r="AO173" s="126"/>
      <c r="AV173" s="6"/>
      <c r="AW173" s="6"/>
      <c r="AX173" s="6"/>
      <c r="AY173" s="6"/>
      <c r="CF173"/>
      <c r="CG173"/>
      <c r="CH173"/>
      <c r="CI173"/>
    </row>
    <row r="174" spans="1:87" ht="15.75">
      <c r="A174" s="298" t="s">
        <v>298</v>
      </c>
      <c r="B174" s="300">
        <f>SUM(B161:B173)</f>
        <v>1400</v>
      </c>
      <c r="C174" s="300">
        <f>SUM(C161:C173)</f>
        <v>600</v>
      </c>
      <c r="D174" s="122">
        <f>SUM(D161:D173)</f>
        <v>2000</v>
      </c>
      <c r="E174" s="235">
        <f t="shared" si="107"/>
        <v>1</v>
      </c>
      <c r="F174" s="122">
        <f>H156</f>
        <v>200000000.016</v>
      </c>
      <c r="G174" s="193">
        <f>H152</f>
        <v>25074432</v>
      </c>
      <c r="H174" s="122">
        <f>H153</f>
        <v>63162432</v>
      </c>
      <c r="I174" s="122">
        <f>H154</f>
        <v>65371536</v>
      </c>
      <c r="J174" s="122">
        <f>H155</f>
        <v>46391600.016</v>
      </c>
      <c r="K174" s="123"/>
      <c r="L174" s="123"/>
      <c r="M174" s="123"/>
      <c r="P174" s="124"/>
      <c r="Q174" s="124"/>
      <c r="R174" s="126"/>
      <c r="S174" s="126"/>
      <c r="T174" s="126"/>
      <c r="U174" s="126"/>
      <c r="AA174" s="124"/>
      <c r="AE174" s="126"/>
      <c r="AK174" s="124"/>
      <c r="AO174" s="126"/>
      <c r="AV174" s="6"/>
      <c r="AW174" s="6"/>
      <c r="AX174" s="6"/>
      <c r="AY174" s="6"/>
      <c r="CF174"/>
      <c r="CG174"/>
      <c r="CH174"/>
      <c r="CI174"/>
    </row>
    <row r="175" spans="1:6" ht="15">
      <c r="A175" s="291"/>
      <c r="B175" s="291"/>
      <c r="C175" s="291"/>
      <c r="D175" s="291"/>
      <c r="E175" s="291"/>
      <c r="F175" s="291"/>
    </row>
    <row r="176" spans="1:6" ht="15.75">
      <c r="A176" s="292" t="s">
        <v>299</v>
      </c>
      <c r="B176" s="293">
        <v>42</v>
      </c>
      <c r="C176" s="291"/>
      <c r="D176" s="291"/>
      <c r="E176" s="291"/>
      <c r="F176" s="291"/>
    </row>
    <row r="177" spans="1:6" ht="15.75">
      <c r="A177" s="292"/>
      <c r="B177" s="293"/>
      <c r="C177" s="291"/>
      <c r="D177" s="291"/>
      <c r="E177" s="291"/>
      <c r="F177" s="291"/>
    </row>
    <row r="178" ht="15">
      <c r="F178" s="291"/>
    </row>
    <row r="179" ht="15">
      <c r="F179" s="291"/>
    </row>
    <row r="193" ht="14.25">
      <c r="A193" s="301"/>
    </row>
    <row r="194" ht="14.25">
      <c r="A194" s="301"/>
    </row>
    <row r="195" ht="14.25">
      <c r="A195" s="301"/>
    </row>
    <row r="196" ht="14.25">
      <c r="A196" s="301"/>
    </row>
  </sheetData>
  <sheetProtection/>
  <mergeCells count="94">
    <mergeCell ref="A133:G133"/>
    <mergeCell ref="A149:A150"/>
    <mergeCell ref="AU4:AV4"/>
    <mergeCell ref="AR7:AS7"/>
    <mergeCell ref="AP6:AX6"/>
    <mergeCell ref="L32:T32"/>
    <mergeCell ref="V32:AD32"/>
    <mergeCell ref="AT32:AX32"/>
    <mergeCell ref="AW7:AX7"/>
    <mergeCell ref="V18:AD18"/>
    <mergeCell ref="B102:J102"/>
    <mergeCell ref="B84:J84"/>
    <mergeCell ref="B68:J68"/>
    <mergeCell ref="B57:J57"/>
    <mergeCell ref="B46:J46"/>
    <mergeCell ref="L10:T10"/>
    <mergeCell ref="B18:J18"/>
    <mergeCell ref="L18:T18"/>
    <mergeCell ref="B32:J32"/>
    <mergeCell ref="L68:T68"/>
    <mergeCell ref="B10:J10"/>
    <mergeCell ref="L6:O6"/>
    <mergeCell ref="P6:T6"/>
    <mergeCell ref="N7:O7"/>
    <mergeCell ref="Q7:R7"/>
    <mergeCell ref="S7:T7"/>
    <mergeCell ref="AZ10:CI10"/>
    <mergeCell ref="AZ9:CI9"/>
    <mergeCell ref="AU7:AV7"/>
    <mergeCell ref="X7:Y7"/>
    <mergeCell ref="AA7:AB7"/>
    <mergeCell ref="A2:J2"/>
    <mergeCell ref="D7:E7"/>
    <mergeCell ref="F6:J6"/>
    <mergeCell ref="G7:H7"/>
    <mergeCell ref="I7:J7"/>
    <mergeCell ref="A7:A8"/>
    <mergeCell ref="B6:E6"/>
    <mergeCell ref="AZ44:CI44"/>
    <mergeCell ref="AZ45:CI45"/>
    <mergeCell ref="AZ4:BN5"/>
    <mergeCell ref="AZ66:CI66"/>
    <mergeCell ref="AZ67:CI67"/>
    <mergeCell ref="AZ68:CI68"/>
    <mergeCell ref="AZ18:CI18"/>
    <mergeCell ref="AZ17:CI17"/>
    <mergeCell ref="AZ6:CI6"/>
    <mergeCell ref="AZ7:CI7"/>
    <mergeCell ref="AC7:AD7"/>
    <mergeCell ref="V6:Y6"/>
    <mergeCell ref="AH7:AI7"/>
    <mergeCell ref="V10:AD10"/>
    <mergeCell ref="AP10:AX10"/>
    <mergeCell ref="B92:J92"/>
    <mergeCell ref="L84:T84"/>
    <mergeCell ref="V84:AD84"/>
    <mergeCell ref="AP84:AX84"/>
    <mergeCell ref="Z6:AD6"/>
    <mergeCell ref="AF6:AI6"/>
    <mergeCell ref="AJ6:AN6"/>
    <mergeCell ref="AK7:AL7"/>
    <mergeCell ref="AM7:AN7"/>
    <mergeCell ref="B96:J96"/>
    <mergeCell ref="AZ96:CI96"/>
    <mergeCell ref="V92:AD92"/>
    <mergeCell ref="L92:T92"/>
    <mergeCell ref="AZ30:CI30"/>
    <mergeCell ref="V68:AD68"/>
    <mergeCell ref="AZ102:CI102"/>
    <mergeCell ref="AZ109:CI109"/>
    <mergeCell ref="AZ55:CI55"/>
    <mergeCell ref="AZ56:CI56"/>
    <mergeCell ref="AP46:AX46"/>
    <mergeCell ref="AZ110:CI110"/>
    <mergeCell ref="AP68:AX68"/>
    <mergeCell ref="AZ84:CI84"/>
    <mergeCell ref="AZ83:CI83"/>
    <mergeCell ref="AZ95:CI95"/>
    <mergeCell ref="AZ91:CI91"/>
    <mergeCell ref="AZ92:CI92"/>
    <mergeCell ref="AZ94:CI94"/>
    <mergeCell ref="AZ82:CI82"/>
    <mergeCell ref="AZ100:CI100"/>
    <mergeCell ref="AZ101:CI101"/>
    <mergeCell ref="G149:G150"/>
    <mergeCell ref="I149:I150"/>
    <mergeCell ref="AZ16:CI16"/>
    <mergeCell ref="AP18:AX18"/>
    <mergeCell ref="AZ57:CI57"/>
    <mergeCell ref="AZ31:CI31"/>
    <mergeCell ref="AZ32:CI32"/>
    <mergeCell ref="AZ46:CI46"/>
    <mergeCell ref="AZ111:CI111"/>
    <mergeCell ref="AZ90:CI90"/>
  </mergeCells>
  <printOptions/>
  <pageMargins left="0.1968503937007874" right="0.3937007874015748" top="0.5905511811023623" bottom="0.5905511811023623" header="0" footer="0"/>
  <pageSetup horizontalDpi="300" verticalDpi="300" orientation="landscape" r:id="rId3"/>
  <ignoredErrors>
    <ignoredError sqref="O12:O13 H62 AP25 AS25 AW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0">
      <selection activeCell="B25" sqref="B25"/>
    </sheetView>
  </sheetViews>
  <sheetFormatPr defaultColWidth="11.421875" defaultRowHeight="12.75"/>
  <cols>
    <col min="1" max="1" width="28.57421875" style="0" customWidth="1"/>
    <col min="2" max="2" width="11.421875" style="213" customWidth="1"/>
    <col min="3" max="3" width="14.57421875" style="0" bestFit="1" customWidth="1"/>
    <col min="4" max="4" width="14.140625" style="0" customWidth="1"/>
    <col min="5" max="5" width="14.28125" style="0" customWidth="1"/>
    <col min="6" max="6" width="13.57421875" style="0" customWidth="1"/>
    <col min="7" max="7" width="14.57421875" style="0" bestFit="1" customWidth="1"/>
    <col min="8" max="8" width="14.00390625" style="0" customWidth="1"/>
    <col min="9" max="9" width="12.28125" style="0" customWidth="1"/>
  </cols>
  <sheetData>
    <row r="1" spans="1:3" ht="12.75">
      <c r="A1" s="96" t="s">
        <v>174</v>
      </c>
      <c r="B1" s="212"/>
      <c r="C1" s="91"/>
    </row>
    <row r="2" spans="1:4" ht="12.75">
      <c r="A2" s="1" t="s">
        <v>213</v>
      </c>
      <c r="C2" s="1" t="s">
        <v>96</v>
      </c>
      <c r="D2" s="1" t="s">
        <v>170</v>
      </c>
    </row>
    <row r="3" spans="1:5" ht="12.75">
      <c r="A3" s="93" t="s">
        <v>152</v>
      </c>
      <c r="B3" s="214" t="s">
        <v>153</v>
      </c>
      <c r="C3" s="90">
        <v>15</v>
      </c>
      <c r="D3" s="90">
        <v>380</v>
      </c>
      <c r="E3" s="90">
        <f aca="true" t="shared" si="0" ref="E3:E9">+C3*D3</f>
        <v>5700</v>
      </c>
    </row>
    <row r="4" spans="1:5" ht="12.75">
      <c r="A4" s="93" t="s">
        <v>154</v>
      </c>
      <c r="B4" s="214" t="s">
        <v>155</v>
      </c>
      <c r="C4" s="90">
        <v>15</v>
      </c>
      <c r="D4" s="90">
        <v>380</v>
      </c>
      <c r="E4" s="90">
        <f t="shared" si="0"/>
        <v>5700</v>
      </c>
    </row>
    <row r="5" spans="1:8" ht="12.75">
      <c r="A5" s="92" t="s">
        <v>156</v>
      </c>
      <c r="B5" s="214" t="s">
        <v>157</v>
      </c>
      <c r="C5" s="90">
        <v>15</v>
      </c>
      <c r="D5" s="90">
        <v>380</v>
      </c>
      <c r="E5" s="90">
        <f t="shared" si="0"/>
        <v>5700</v>
      </c>
      <c r="H5">
        <v>2000</v>
      </c>
    </row>
    <row r="6" spans="1:10" ht="12.75">
      <c r="A6" s="92" t="s">
        <v>158</v>
      </c>
      <c r="B6" s="214" t="s">
        <v>159</v>
      </c>
      <c r="C6" s="90">
        <v>15</v>
      </c>
      <c r="D6" s="90">
        <v>380</v>
      </c>
      <c r="E6" s="90">
        <f t="shared" si="0"/>
        <v>5700</v>
      </c>
      <c r="H6">
        <v>1400</v>
      </c>
      <c r="I6" s="18" t="s">
        <v>207</v>
      </c>
      <c r="J6" s="18">
        <f>+H6/40</f>
        <v>35</v>
      </c>
    </row>
    <row r="7" spans="1:10" ht="12.75">
      <c r="A7" s="89" t="s">
        <v>162</v>
      </c>
      <c r="B7" s="214" t="s">
        <v>209</v>
      </c>
      <c r="C7" s="90">
        <v>15</v>
      </c>
      <c r="D7" s="90">
        <v>380</v>
      </c>
      <c r="E7" s="90">
        <f t="shared" si="0"/>
        <v>5700</v>
      </c>
      <c r="I7" s="18"/>
      <c r="J7" s="18"/>
    </row>
    <row r="8" spans="1:10" ht="12.75">
      <c r="A8" s="18" t="s">
        <v>165</v>
      </c>
      <c r="B8" s="215" t="s">
        <v>210</v>
      </c>
      <c r="C8" s="90">
        <v>15</v>
      </c>
      <c r="D8" s="90">
        <v>380</v>
      </c>
      <c r="E8" s="90">
        <f t="shared" si="0"/>
        <v>5700</v>
      </c>
      <c r="H8">
        <v>600</v>
      </c>
      <c r="I8" s="18" t="s">
        <v>208</v>
      </c>
      <c r="J8" s="18">
        <f>+H8/40</f>
        <v>15</v>
      </c>
    </row>
    <row r="9" spans="1:10" ht="12.75">
      <c r="A9" s="89" t="s">
        <v>167</v>
      </c>
      <c r="B9" s="215" t="s">
        <v>212</v>
      </c>
      <c r="C9" s="90">
        <v>15</v>
      </c>
      <c r="D9" s="90">
        <v>380</v>
      </c>
      <c r="E9" s="90">
        <f t="shared" si="0"/>
        <v>5700</v>
      </c>
      <c r="J9">
        <f>SUM(J6:J8)</f>
        <v>50</v>
      </c>
    </row>
    <row r="10" spans="1:2" ht="12.75">
      <c r="A10" s="88"/>
      <c r="B10" s="216"/>
    </row>
    <row r="11" ht="12.75">
      <c r="A11" s="1" t="s">
        <v>160</v>
      </c>
    </row>
    <row r="12" spans="1:5" ht="12.75">
      <c r="A12" s="93" t="s">
        <v>154</v>
      </c>
      <c r="B12" s="453" t="s">
        <v>153</v>
      </c>
      <c r="C12" s="452">
        <v>40</v>
      </c>
      <c r="D12" s="452">
        <v>380</v>
      </c>
      <c r="E12" s="452">
        <f>+C12*D12</f>
        <v>15200</v>
      </c>
    </row>
    <row r="13" spans="1:5" ht="12.75">
      <c r="A13" s="92" t="s">
        <v>161</v>
      </c>
      <c r="B13" s="453"/>
      <c r="C13" s="452"/>
      <c r="D13" s="452"/>
      <c r="E13" s="452"/>
    </row>
    <row r="14" spans="1:5" ht="12.75">
      <c r="A14" s="92" t="s">
        <v>158</v>
      </c>
      <c r="B14" s="453" t="s">
        <v>164</v>
      </c>
      <c r="C14" s="452">
        <v>40</v>
      </c>
      <c r="D14" s="452">
        <v>380</v>
      </c>
      <c r="E14" s="452">
        <f>+D14*C14</f>
        <v>15200</v>
      </c>
    </row>
    <row r="15" spans="1:5" ht="12.75">
      <c r="A15" s="94" t="s">
        <v>162</v>
      </c>
      <c r="B15" s="453"/>
      <c r="C15" s="452"/>
      <c r="D15" s="452"/>
      <c r="E15" s="452"/>
    </row>
    <row r="16" spans="1:5" ht="12.75">
      <c r="A16" s="94" t="s">
        <v>165</v>
      </c>
      <c r="B16" s="214" t="s">
        <v>166</v>
      </c>
      <c r="C16" s="90">
        <v>40</v>
      </c>
      <c r="D16" s="90">
        <v>380</v>
      </c>
      <c r="E16" s="90">
        <f>+D16*C16</f>
        <v>15200</v>
      </c>
    </row>
    <row r="17" spans="1:5" ht="12.75">
      <c r="A17" s="95" t="s">
        <v>167</v>
      </c>
      <c r="B17" s="214" t="s">
        <v>168</v>
      </c>
      <c r="C17" s="90">
        <v>40</v>
      </c>
      <c r="D17" s="90">
        <v>380</v>
      </c>
      <c r="E17" s="90">
        <f>+D17*C17</f>
        <v>15200</v>
      </c>
    </row>
    <row r="18" spans="1:2" ht="12.75">
      <c r="A18" s="95" t="s">
        <v>169</v>
      </c>
      <c r="B18" s="214" t="s">
        <v>163</v>
      </c>
    </row>
    <row r="21" spans="1:2" ht="12.75">
      <c r="A21" s="87" t="s">
        <v>171</v>
      </c>
      <c r="B21" s="214">
        <f>+E3+E4+E12</f>
        <v>26600</v>
      </c>
    </row>
    <row r="22" spans="1:2" ht="12.75">
      <c r="A22" s="89" t="s">
        <v>172</v>
      </c>
      <c r="B22" s="214">
        <f>+E5+E6+E14</f>
        <v>26600</v>
      </c>
    </row>
    <row r="23" spans="1:2" ht="12.75">
      <c r="A23" s="89" t="s">
        <v>173</v>
      </c>
      <c r="B23" s="214">
        <f>+E7+E8+E16</f>
        <v>26600</v>
      </c>
    </row>
    <row r="24" spans="1:2" ht="12.75">
      <c r="A24" s="89" t="s">
        <v>211</v>
      </c>
      <c r="B24" s="214">
        <f>+E9+E17</f>
        <v>20900</v>
      </c>
    </row>
    <row r="25" ht="12.75">
      <c r="B25" s="213">
        <f>SUM(B21:B24)</f>
        <v>100700</v>
      </c>
    </row>
    <row r="32" spans="1:8" ht="12.75">
      <c r="A32" s="468"/>
      <c r="B32" s="469"/>
      <c r="C32" s="442" t="s">
        <v>129</v>
      </c>
      <c r="D32" s="443"/>
      <c r="E32" s="442" t="s">
        <v>128</v>
      </c>
      <c r="F32" s="443"/>
      <c r="G32" s="60" t="s">
        <v>126</v>
      </c>
      <c r="H32" s="60" t="s">
        <v>127</v>
      </c>
    </row>
    <row r="33" spans="1:9" ht="15">
      <c r="A33" s="46"/>
      <c r="B33" s="448" t="s">
        <v>75</v>
      </c>
      <c r="C33" s="449"/>
      <c r="D33" s="458" t="s">
        <v>76</v>
      </c>
      <c r="E33" s="459"/>
      <c r="F33" s="448" t="s">
        <v>77</v>
      </c>
      <c r="G33" s="449"/>
      <c r="H33" s="70" t="s">
        <v>123</v>
      </c>
      <c r="I33" s="69" t="s">
        <v>135</v>
      </c>
    </row>
    <row r="34" spans="1:9" ht="15" customHeight="1">
      <c r="A34" s="46"/>
      <c r="B34" s="456" t="s">
        <v>125</v>
      </c>
      <c r="C34" s="454" t="s">
        <v>116</v>
      </c>
      <c r="D34" s="454" t="s">
        <v>117</v>
      </c>
      <c r="E34" s="454" t="s">
        <v>118</v>
      </c>
      <c r="F34" s="454" t="s">
        <v>119</v>
      </c>
      <c r="G34" s="454" t="s">
        <v>120</v>
      </c>
      <c r="H34" s="454" t="s">
        <v>121</v>
      </c>
      <c r="I34" s="466"/>
    </row>
    <row r="35" spans="2:9" ht="12.75" customHeight="1">
      <c r="B35" s="457"/>
      <c r="C35" s="455"/>
      <c r="D35" s="455"/>
      <c r="E35" s="455"/>
      <c r="F35" s="455"/>
      <c r="G35" s="455"/>
      <c r="H35" s="455"/>
      <c r="I35" s="467"/>
    </row>
    <row r="36" spans="1:9" ht="30">
      <c r="A36" s="80" t="s">
        <v>131</v>
      </c>
      <c r="B36" s="217" t="s">
        <v>78</v>
      </c>
      <c r="C36" s="55" t="s">
        <v>115</v>
      </c>
      <c r="D36" s="56" t="s">
        <v>78</v>
      </c>
      <c r="E36" s="56" t="s">
        <v>115</v>
      </c>
      <c r="F36" s="55" t="s">
        <v>78</v>
      </c>
      <c r="G36" s="55" t="s">
        <v>115</v>
      </c>
      <c r="H36" s="56" t="s">
        <v>78</v>
      </c>
      <c r="I36" s="467"/>
    </row>
    <row r="37" spans="1:9" ht="15.75">
      <c r="A37" s="446" t="s">
        <v>124</v>
      </c>
      <c r="B37" s="447"/>
      <c r="C37" s="460">
        <v>350</v>
      </c>
      <c r="D37" s="461"/>
      <c r="E37" s="460">
        <v>350</v>
      </c>
      <c r="F37" s="461"/>
      <c r="G37" s="85">
        <v>350</v>
      </c>
      <c r="H37" s="82">
        <v>350</v>
      </c>
      <c r="I37" s="467"/>
    </row>
    <row r="38" spans="1:9" ht="16.5" thickBot="1">
      <c r="A38" s="446" t="s">
        <v>130</v>
      </c>
      <c r="B38" s="447"/>
      <c r="C38" s="444">
        <v>20</v>
      </c>
      <c r="D38" s="445"/>
      <c r="E38" s="444">
        <v>20</v>
      </c>
      <c r="F38" s="445"/>
      <c r="G38" s="68">
        <v>20</v>
      </c>
      <c r="H38" s="67">
        <v>20</v>
      </c>
      <c r="I38" s="58"/>
    </row>
    <row r="39" spans="1:9" ht="20.25" thickBot="1" thickTop="1">
      <c r="A39" s="446" t="s">
        <v>133</v>
      </c>
      <c r="B39" s="447"/>
      <c r="C39" s="462">
        <f>SUM(C38*C37)</f>
        <v>7000</v>
      </c>
      <c r="D39" s="463"/>
      <c r="E39" s="462">
        <f>SUM(E38*E37)</f>
        <v>7000</v>
      </c>
      <c r="F39" s="463"/>
      <c r="G39" s="61">
        <f>SUM(G38*G37)</f>
        <v>7000</v>
      </c>
      <c r="H39" s="62">
        <f>SUM(H38*H37)</f>
        <v>7000</v>
      </c>
      <c r="I39" s="63">
        <f>SUM(C39+E39+G39+H39)</f>
        <v>28000</v>
      </c>
    </row>
    <row r="40" spans="1:9" ht="13.5" thickTop="1">
      <c r="A40" s="464"/>
      <c r="B40" s="464"/>
      <c r="C40" s="464"/>
      <c r="D40" s="464"/>
      <c r="E40" s="464"/>
      <c r="F40" s="464"/>
      <c r="G40" s="464"/>
      <c r="H40" s="465"/>
      <c r="I40" s="47"/>
    </row>
    <row r="41" spans="1:9" ht="15">
      <c r="A41" s="79" t="s">
        <v>132</v>
      </c>
      <c r="B41" s="218" t="s">
        <v>80</v>
      </c>
      <c r="C41" s="64" t="s">
        <v>81</v>
      </c>
      <c r="D41" s="64" t="s">
        <v>82</v>
      </c>
      <c r="E41" s="64" t="s">
        <v>83</v>
      </c>
      <c r="F41" s="64" t="s">
        <v>84</v>
      </c>
      <c r="G41" s="64" t="s">
        <v>85</v>
      </c>
      <c r="H41" s="65" t="s">
        <v>122</v>
      </c>
      <c r="I41" s="59"/>
    </row>
    <row r="42" spans="1:9" ht="36" customHeight="1">
      <c r="A42" s="66" t="s">
        <v>124</v>
      </c>
      <c r="B42" s="219">
        <v>350</v>
      </c>
      <c r="C42" s="72">
        <v>350</v>
      </c>
      <c r="D42" s="81">
        <v>350</v>
      </c>
      <c r="E42" s="81">
        <v>350</v>
      </c>
      <c r="F42" s="72">
        <v>350</v>
      </c>
      <c r="G42" s="72">
        <v>350</v>
      </c>
      <c r="H42" s="73"/>
      <c r="I42" s="48"/>
    </row>
    <row r="43" spans="1:10" ht="16.5" thickBot="1">
      <c r="A43" s="66" t="s">
        <v>130</v>
      </c>
      <c r="B43" s="220"/>
      <c r="C43" s="68">
        <v>0</v>
      </c>
      <c r="D43" s="68">
        <v>15</v>
      </c>
      <c r="E43" s="68">
        <v>15</v>
      </c>
      <c r="F43" s="68">
        <v>15</v>
      </c>
      <c r="G43" s="68">
        <v>15</v>
      </c>
      <c r="H43" s="68"/>
      <c r="I43" s="57"/>
      <c r="J43" s="19"/>
    </row>
    <row r="44" spans="1:10" ht="17.25" thickBot="1" thickTop="1">
      <c r="A44" s="66" t="s">
        <v>134</v>
      </c>
      <c r="B44" s="221">
        <f>SUM(B43*B42)</f>
        <v>0</v>
      </c>
      <c r="C44" s="71">
        <f aca="true" t="shared" si="1" ref="C44:H44">SUM(C43*C42)</f>
        <v>0</v>
      </c>
      <c r="D44" s="71">
        <f t="shared" si="1"/>
        <v>5250</v>
      </c>
      <c r="E44" s="71">
        <f t="shared" si="1"/>
        <v>5250</v>
      </c>
      <c r="F44" s="71">
        <f t="shared" si="1"/>
        <v>5250</v>
      </c>
      <c r="G44" s="71">
        <f t="shared" si="1"/>
        <v>5250</v>
      </c>
      <c r="H44" s="75">
        <f t="shared" si="1"/>
        <v>0</v>
      </c>
      <c r="I44" s="76">
        <f>SUM(H44+G44+F44+E44+D44+C44+B44)</f>
        <v>21000</v>
      </c>
      <c r="J44" s="19"/>
    </row>
    <row r="45" spans="1:9" ht="13.5" thickTop="1">
      <c r="A45" s="464"/>
      <c r="B45" s="464"/>
      <c r="C45" s="464"/>
      <c r="D45" s="464"/>
      <c r="E45" s="464"/>
      <c r="F45" s="464"/>
      <c r="G45" s="464"/>
      <c r="H45" s="465"/>
      <c r="I45" s="47"/>
    </row>
    <row r="46" spans="1:10" ht="15">
      <c r="A46" s="79" t="s">
        <v>136</v>
      </c>
      <c r="B46" s="218" t="s">
        <v>80</v>
      </c>
      <c r="C46" s="64" t="s">
        <v>81</v>
      </c>
      <c r="D46" s="64" t="s">
        <v>82</v>
      </c>
      <c r="E46" s="64" t="s">
        <v>83</v>
      </c>
      <c r="F46" s="64" t="s">
        <v>84</v>
      </c>
      <c r="G46" s="64" t="s">
        <v>85</v>
      </c>
      <c r="H46" s="64" t="s">
        <v>122</v>
      </c>
      <c r="I46" s="57"/>
      <c r="J46" s="19"/>
    </row>
    <row r="47" spans="1:9" ht="30">
      <c r="A47" s="77" t="s">
        <v>142</v>
      </c>
      <c r="B47" s="222"/>
      <c r="C47" s="74"/>
      <c r="D47" s="72">
        <v>16</v>
      </c>
      <c r="E47" s="72">
        <v>16</v>
      </c>
      <c r="F47" s="72">
        <v>16</v>
      </c>
      <c r="G47" s="72">
        <v>16</v>
      </c>
      <c r="H47" s="73">
        <v>16</v>
      </c>
      <c r="I47" s="48"/>
    </row>
    <row r="48" spans="1:10" ht="16.5" thickBot="1">
      <c r="A48" s="66" t="s">
        <v>130</v>
      </c>
      <c r="B48" s="220">
        <v>0</v>
      </c>
      <c r="C48" s="68">
        <v>0</v>
      </c>
      <c r="D48" s="68">
        <v>35</v>
      </c>
      <c r="E48" s="68">
        <v>35</v>
      </c>
      <c r="F48" s="68">
        <v>10</v>
      </c>
      <c r="G48" s="68">
        <v>30</v>
      </c>
      <c r="H48" s="68">
        <v>30</v>
      </c>
      <c r="I48" s="57"/>
      <c r="J48" s="19"/>
    </row>
    <row r="49" spans="1:10" ht="17.25" thickBot="1" thickTop="1">
      <c r="A49" s="66" t="s">
        <v>137</v>
      </c>
      <c r="B49" s="221">
        <f aca="true" t="shared" si="2" ref="B49:H49">SUM(B48*B47)</f>
        <v>0</v>
      </c>
      <c r="C49" s="71">
        <f t="shared" si="2"/>
        <v>0</v>
      </c>
      <c r="D49" s="71">
        <f t="shared" si="2"/>
        <v>560</v>
      </c>
      <c r="E49" s="71">
        <f t="shared" si="2"/>
        <v>560</v>
      </c>
      <c r="F49" s="71">
        <f t="shared" si="2"/>
        <v>160</v>
      </c>
      <c r="G49" s="71">
        <f t="shared" si="2"/>
        <v>480</v>
      </c>
      <c r="H49" s="75">
        <f t="shared" si="2"/>
        <v>480</v>
      </c>
      <c r="I49" s="76">
        <f>SUM(H49+G49+F49+E49+D49+C49+B49)</f>
        <v>2240</v>
      </c>
      <c r="J49" s="19"/>
    </row>
    <row r="50" spans="1:10" ht="15.75" thickTop="1">
      <c r="A50" s="79" t="s">
        <v>139</v>
      </c>
      <c r="B50" s="218" t="s">
        <v>80</v>
      </c>
      <c r="C50" s="64" t="s">
        <v>81</v>
      </c>
      <c r="D50" s="64" t="s">
        <v>82</v>
      </c>
      <c r="E50" s="64" t="s">
        <v>83</v>
      </c>
      <c r="F50" s="64" t="s">
        <v>84</v>
      </c>
      <c r="G50" s="64" t="s">
        <v>85</v>
      </c>
      <c r="H50" s="64" t="s">
        <v>122</v>
      </c>
      <c r="I50" s="57"/>
      <c r="J50" s="19"/>
    </row>
    <row r="51" ht="12.75">
      <c r="A51" s="1"/>
    </row>
    <row r="52" spans="1:9" ht="15.75">
      <c r="A52" s="83" t="s">
        <v>143</v>
      </c>
      <c r="B52" s="450">
        <f>B44+C44+3500</f>
        <v>3500</v>
      </c>
      <c r="C52" s="451"/>
      <c r="D52" s="450">
        <f>D44+E44+7000</f>
        <v>17500</v>
      </c>
      <c r="E52" s="451"/>
      <c r="F52" s="450">
        <f>3500+G39+F44</f>
        <v>15750</v>
      </c>
      <c r="G52" s="451"/>
      <c r="H52" s="84">
        <f>H39</f>
        <v>7000</v>
      </c>
      <c r="I52" s="84">
        <f>SUM(B52:H52)</f>
        <v>43750</v>
      </c>
    </row>
    <row r="53" ht="13.5" thickBot="1"/>
    <row r="54" spans="7:9" ht="17.25" thickBot="1" thickTop="1">
      <c r="G54" s="440" t="s">
        <v>138</v>
      </c>
      <c r="H54" s="441"/>
      <c r="I54" s="78">
        <f>SUM(I39+I44+I49)</f>
        <v>51240</v>
      </c>
    </row>
    <row r="55" ht="13.5" thickTop="1">
      <c r="A55" s="1"/>
    </row>
    <row r="56" ht="12.75">
      <c r="A56" s="1"/>
    </row>
    <row r="57" ht="12.75">
      <c r="A57" s="1"/>
    </row>
    <row r="58" ht="12.75">
      <c r="A58" s="1"/>
    </row>
    <row r="60" ht="12.75">
      <c r="A60" s="1" t="s">
        <v>23</v>
      </c>
    </row>
    <row r="61" spans="1:9" ht="12.75">
      <c r="A61" s="1" t="s">
        <v>79</v>
      </c>
      <c r="B61" s="468">
        <f>(9*32)+144</f>
        <v>432</v>
      </c>
      <c r="C61" s="468"/>
      <c r="D61" s="468">
        <f>(9*32)+(12*32)</f>
        <v>672</v>
      </c>
      <c r="E61" s="468"/>
      <c r="F61" s="468">
        <f>144+(9*32)+(3*32)</f>
        <v>528</v>
      </c>
      <c r="G61" s="468"/>
      <c r="H61">
        <f>9*32</f>
        <v>288</v>
      </c>
      <c r="I61">
        <f>B61+D61+F61+H61</f>
        <v>1920</v>
      </c>
    </row>
    <row r="62" spans="1:7" ht="12.75">
      <c r="A62" s="1" t="s">
        <v>141</v>
      </c>
      <c r="B62" s="213">
        <f>(9*35*8)+(9*35*16)</f>
        <v>7560</v>
      </c>
      <c r="D62" s="5">
        <f>(9*35*16)+(12*35*16)</f>
        <v>11760</v>
      </c>
      <c r="E62" s="5"/>
      <c r="F62" s="5">
        <f>(9*35*16)+(3*35*16)</f>
        <v>6720</v>
      </c>
      <c r="G62" s="5">
        <f>(9*35*16)</f>
        <v>5040</v>
      </c>
    </row>
  </sheetData>
  <sheetProtection/>
  <mergeCells count="41">
    <mergeCell ref="F61:G61"/>
    <mergeCell ref="D61:E61"/>
    <mergeCell ref="B61:C61"/>
    <mergeCell ref="F52:G52"/>
    <mergeCell ref="B52:C52"/>
    <mergeCell ref="C34:C35"/>
    <mergeCell ref="A40:H40"/>
    <mergeCell ref="I34:I35"/>
    <mergeCell ref="I36:I37"/>
    <mergeCell ref="A37:B37"/>
    <mergeCell ref="C38:D38"/>
    <mergeCell ref="E14:E15"/>
    <mergeCell ref="E32:F32"/>
    <mergeCell ref="A32:B32"/>
    <mergeCell ref="E37:F37"/>
    <mergeCell ref="F34:F35"/>
    <mergeCell ref="G34:G35"/>
    <mergeCell ref="E34:E35"/>
    <mergeCell ref="E39:F39"/>
    <mergeCell ref="A45:H45"/>
    <mergeCell ref="C39:D39"/>
    <mergeCell ref="D12:D13"/>
    <mergeCell ref="E12:E13"/>
    <mergeCell ref="B12:B13"/>
    <mergeCell ref="C12:C13"/>
    <mergeCell ref="B14:B15"/>
    <mergeCell ref="H34:H35"/>
    <mergeCell ref="C14:C15"/>
    <mergeCell ref="D14:D15"/>
    <mergeCell ref="D34:D35"/>
    <mergeCell ref="B34:B35"/>
    <mergeCell ref="G54:H54"/>
    <mergeCell ref="C32:D32"/>
    <mergeCell ref="E38:F38"/>
    <mergeCell ref="A38:B38"/>
    <mergeCell ref="A39:B39"/>
    <mergeCell ref="F33:G33"/>
    <mergeCell ref="D52:E52"/>
    <mergeCell ref="B33:C33"/>
    <mergeCell ref="D33:E33"/>
    <mergeCell ref="C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">
      <pane ySplit="1275" topLeftCell="A16" activePane="bottomLeft" state="split"/>
      <selection pane="topLeft" activeCell="A3" sqref="A3"/>
      <selection pane="bottomLeft" activeCell="F35" sqref="F35"/>
    </sheetView>
  </sheetViews>
  <sheetFormatPr defaultColWidth="11.421875" defaultRowHeight="12.75"/>
  <cols>
    <col min="1" max="1" width="41.28125" style="0" customWidth="1"/>
    <col min="3" max="4" width="13.28125" style="0" customWidth="1"/>
    <col min="5" max="5" width="21.28125" style="0" customWidth="1"/>
    <col min="6" max="6" width="13.140625" style="0" customWidth="1"/>
  </cols>
  <sheetData>
    <row r="1" spans="1:6" ht="14.25" customHeight="1">
      <c r="A1" s="473" t="s">
        <v>188</v>
      </c>
      <c r="B1" s="475" t="s">
        <v>179</v>
      </c>
      <c r="C1" s="475" t="s">
        <v>180</v>
      </c>
      <c r="D1" s="471" t="s">
        <v>181</v>
      </c>
      <c r="E1" s="471" t="s">
        <v>187</v>
      </c>
      <c r="F1" s="470" t="s">
        <v>50</v>
      </c>
    </row>
    <row r="2" spans="1:6" ht="36.75" customHeight="1">
      <c r="A2" s="474"/>
      <c r="B2" s="476"/>
      <c r="C2" s="476"/>
      <c r="D2" s="472"/>
      <c r="E2" s="472"/>
      <c r="F2" s="470"/>
    </row>
    <row r="3" spans="1:6" ht="45.75" customHeight="1">
      <c r="A3" s="97" t="s">
        <v>183</v>
      </c>
      <c r="B3" s="102"/>
      <c r="C3" s="102"/>
      <c r="D3" s="103">
        <f>SUM(D4:D7)</f>
        <v>0</v>
      </c>
      <c r="E3" s="103">
        <f>SUM(E4:E7)</f>
        <v>27600000</v>
      </c>
      <c r="F3" s="105">
        <f>SUM(D3:E3)</f>
        <v>27600000</v>
      </c>
    </row>
    <row r="4" spans="1:6" ht="15">
      <c r="A4" s="99" t="s">
        <v>190</v>
      </c>
      <c r="B4" s="109"/>
      <c r="C4" s="109"/>
      <c r="D4" s="110"/>
      <c r="E4" s="111"/>
      <c r="F4" s="111"/>
    </row>
    <row r="5" spans="1:6" ht="15">
      <c r="A5" s="98" t="s">
        <v>191</v>
      </c>
      <c r="B5" s="109"/>
      <c r="C5" s="109"/>
      <c r="D5" s="110"/>
      <c r="E5" s="111"/>
      <c r="F5" s="111"/>
    </row>
    <row r="6" spans="1:6" ht="15">
      <c r="A6" s="98" t="s">
        <v>192</v>
      </c>
      <c r="B6" s="109"/>
      <c r="C6" s="109"/>
      <c r="D6" s="110"/>
      <c r="E6" s="111"/>
      <c r="F6" s="111"/>
    </row>
    <row r="7" spans="1:6" ht="15">
      <c r="A7" s="98" t="s">
        <v>203</v>
      </c>
      <c r="B7" s="111">
        <v>3</v>
      </c>
      <c r="C7" s="111">
        <f>E7/B7</f>
        <v>9200000</v>
      </c>
      <c r="D7" s="111">
        <v>0</v>
      </c>
      <c r="E7" s="111">
        <f>'CALCULO PRESUPUESTO  BID JPO'!AW103+'CALCULO PRESUPUESTO  BID JPO'!AW104+'CALCULO PRESUPUESTO  BID JPO'!AV105</f>
        <v>27600000</v>
      </c>
      <c r="F7" s="111">
        <f aca="true" t="shared" si="0" ref="F7:F25">D7+E7</f>
        <v>27600000</v>
      </c>
    </row>
    <row r="8" spans="1:7" ht="57">
      <c r="A8" s="97" t="s">
        <v>184</v>
      </c>
      <c r="B8" s="104"/>
      <c r="C8" s="104"/>
      <c r="D8" s="105">
        <f>SUM(D9:D14)</f>
        <v>6260398756.5056</v>
      </c>
      <c r="E8" s="105">
        <f>SUM(E9:E14)</f>
        <v>329988966.34000003</v>
      </c>
      <c r="F8" s="105">
        <f t="shared" si="0"/>
        <v>6590387722.8456</v>
      </c>
      <c r="G8" s="6"/>
    </row>
    <row r="9" spans="1:7" ht="15">
      <c r="A9" s="99" t="s">
        <v>190</v>
      </c>
      <c r="B9" s="106">
        <v>42</v>
      </c>
      <c r="C9" s="106">
        <f>D9/B9</f>
        <v>110572064.76754287</v>
      </c>
      <c r="D9" s="106">
        <f>'CALCULO PRESUPUESTO  BID JPO'!AT12+'CALCULO PRESUPUESTO  BID JPO'!AT20+'CALCULO PRESUPUESTO  BID JPO'!AT22+'CALCULO PRESUPUESTO  BID JPO'!AT23+'CALCULO PRESUPUESTO  BID JPO'!AT27+'CALCULO PRESUPUESTO  BID JPO'!AT29</f>
        <v>4644026720.2368</v>
      </c>
      <c r="E9" s="106">
        <v>0</v>
      </c>
      <c r="F9" s="106">
        <f t="shared" si="0"/>
        <v>4644026720.2368</v>
      </c>
      <c r="G9" s="6"/>
    </row>
    <row r="10" spans="1:6" ht="15">
      <c r="A10" s="98" t="s">
        <v>191</v>
      </c>
      <c r="B10" s="107">
        <v>42</v>
      </c>
      <c r="C10" s="107">
        <f>D10/B10</f>
        <v>666000.8635428571</v>
      </c>
      <c r="D10" s="106">
        <f>'CALCULO PRESUPUESTO  BID JPO'!AT87</f>
        <v>27972036.268799998</v>
      </c>
      <c r="E10" s="106">
        <v>0</v>
      </c>
      <c r="F10" s="106">
        <f t="shared" si="0"/>
        <v>27972036.268799998</v>
      </c>
    </row>
    <row r="11" spans="1:6" ht="15">
      <c r="A11" s="98" t="s">
        <v>192</v>
      </c>
      <c r="B11" s="108">
        <v>0</v>
      </c>
      <c r="C11" s="107">
        <v>0</v>
      </c>
      <c r="D11" s="106">
        <v>0</v>
      </c>
      <c r="E11" s="106">
        <v>0</v>
      </c>
      <c r="F11" s="106">
        <f t="shared" si="0"/>
        <v>0</v>
      </c>
    </row>
    <row r="12" spans="1:6" ht="14.25">
      <c r="A12" s="100" t="s">
        <v>26</v>
      </c>
      <c r="B12" s="106">
        <v>42</v>
      </c>
      <c r="C12" s="107">
        <f>(D12+E12)/B12</f>
        <v>9523809.523809524</v>
      </c>
      <c r="D12" s="106">
        <f>'CALCULO PRESUPUESTO  BID JPO'!AT35</f>
        <v>400000000</v>
      </c>
      <c r="E12" s="106">
        <f>'CALCULO PRESUPUESTO  BID JPO'!AV35</f>
        <v>0</v>
      </c>
      <c r="F12" s="106">
        <f t="shared" si="0"/>
        <v>400000000</v>
      </c>
    </row>
    <row r="13" spans="1:6" ht="14.25">
      <c r="A13" s="100" t="s">
        <v>201</v>
      </c>
      <c r="B13" s="106">
        <v>42</v>
      </c>
      <c r="C13" s="106">
        <f>D13/B13</f>
        <v>28295238.095238097</v>
      </c>
      <c r="D13" s="106">
        <f>'CALCULO PRESUPUESTO  BID JPO'!AT47+'CALCULO PRESUPUESTO  BID JPO'!AT48+'CALCULO PRESUPUESTO  BID JPO'!AT49+'CALCULO PRESUPUESTO  BID JPO'!AT50+'CALCULO PRESUPUESTO  BID JPO'!AT51+'CALCULO PRESUPUESTO  BID JPO'!AT53</f>
        <v>1188400000</v>
      </c>
      <c r="E13" s="106">
        <v>0</v>
      </c>
      <c r="F13" s="106">
        <f t="shared" si="0"/>
        <v>1188400000</v>
      </c>
    </row>
    <row r="14" spans="1:6" ht="14.25">
      <c r="A14" s="100" t="s">
        <v>202</v>
      </c>
      <c r="B14" s="106">
        <v>42</v>
      </c>
      <c r="C14" s="106">
        <f>E14/B14</f>
        <v>7856880.150952382</v>
      </c>
      <c r="D14" s="106">
        <v>0</v>
      </c>
      <c r="E14" s="106">
        <f>'CALCULO PRESUPUESTO  BID JPO'!AV59+'CALCULO PRESUPUESTO  BID JPO'!AV60+'CALCULO PRESUPUESTO  BID JPO'!AV61+'CALCULO PRESUPUESTO  BID JPO'!AV62+'CALCULO PRESUPUESTO  BID JPO'!AV63+'CALCULO PRESUPUESTO  BID JPO'!AV64+'CALCULO PRESUPUESTO  BID JPO'!AV65</f>
        <v>329988966.34000003</v>
      </c>
      <c r="F14" s="106">
        <f t="shared" si="0"/>
        <v>329988966.34000003</v>
      </c>
    </row>
    <row r="15" spans="1:7" ht="14.25">
      <c r="A15" s="114" t="s">
        <v>185</v>
      </c>
      <c r="B15" s="103"/>
      <c r="C15" s="103"/>
      <c r="D15" s="103">
        <f>SUM(D16:D19)</f>
        <v>3054037183.0192</v>
      </c>
      <c r="E15" s="103">
        <f>SUM(E16:E19)</f>
        <v>130849533.36</v>
      </c>
      <c r="F15" s="115">
        <f t="shared" si="0"/>
        <v>3184886716.3792</v>
      </c>
      <c r="G15" s="6"/>
    </row>
    <row r="16" spans="1:7" ht="15">
      <c r="A16" s="99" t="s">
        <v>190</v>
      </c>
      <c r="B16" s="101">
        <v>42</v>
      </c>
      <c r="C16" s="101">
        <f>D16/B16</f>
        <v>9346395.24</v>
      </c>
      <c r="D16" s="116">
        <f>'CALCULO PRESUPUESTO  BID JPO'!AT14</f>
        <v>392548600.08</v>
      </c>
      <c r="E16" s="118">
        <f>'CALCULO PRESUPUESTO  BID JPO'!AV14</f>
        <v>130849533.36</v>
      </c>
      <c r="F16" s="101">
        <f t="shared" si="0"/>
        <v>523398133.44</v>
      </c>
      <c r="G16" s="6"/>
    </row>
    <row r="17" spans="1:6" ht="15">
      <c r="A17" s="98" t="s">
        <v>191</v>
      </c>
      <c r="B17" s="101">
        <v>42</v>
      </c>
      <c r="C17" s="101">
        <f>D17/B17</f>
        <v>60102109.1176</v>
      </c>
      <c r="D17" s="116">
        <f>'CALCULO PRESUPUESTO  BID JPO'!AT93</f>
        <v>2524288582.9392</v>
      </c>
      <c r="E17" s="118">
        <v>0</v>
      </c>
      <c r="F17" s="101">
        <f t="shared" si="0"/>
        <v>2524288582.9392</v>
      </c>
    </row>
    <row r="18" spans="1:6" ht="15">
      <c r="A18" s="98" t="s">
        <v>192</v>
      </c>
      <c r="B18" s="101">
        <v>0</v>
      </c>
      <c r="C18" s="101">
        <v>0</v>
      </c>
      <c r="D18" s="116">
        <v>0</v>
      </c>
      <c r="E18" s="118">
        <v>0</v>
      </c>
      <c r="F18" s="101">
        <f t="shared" si="0"/>
        <v>0</v>
      </c>
    </row>
    <row r="19" spans="1:6" ht="28.5">
      <c r="A19" s="100" t="s">
        <v>204</v>
      </c>
      <c r="B19" s="101">
        <v>9</v>
      </c>
      <c r="C19" s="101">
        <f>D19/B19</f>
        <v>15244444.444444444</v>
      </c>
      <c r="D19" s="116">
        <f>'CALCULO PRESUPUESTO  BID JPO'!AT106</f>
        <v>137200000</v>
      </c>
      <c r="E19" s="118">
        <v>0</v>
      </c>
      <c r="F19" s="101">
        <f t="shared" si="0"/>
        <v>137200000</v>
      </c>
    </row>
    <row r="20" spans="1:6" ht="28.5">
      <c r="A20" s="114" t="s">
        <v>186</v>
      </c>
      <c r="B20" s="102"/>
      <c r="C20" s="102"/>
      <c r="D20" s="121" t="e">
        <f>SUM(D21:D24)</f>
        <v>#REF!</v>
      </c>
      <c r="E20" s="103">
        <f>SUM(E21:E24)</f>
        <v>248950680</v>
      </c>
      <c r="F20" s="115" t="e">
        <f t="shared" si="0"/>
        <v>#REF!</v>
      </c>
    </row>
    <row r="21" spans="1:7" ht="15">
      <c r="A21" s="99" t="s">
        <v>190</v>
      </c>
      <c r="B21" s="101">
        <v>30</v>
      </c>
      <c r="C21" s="101">
        <f>(D21+E21)/B21</f>
        <v>18887802.528512</v>
      </c>
      <c r="D21" s="116">
        <f>'CALCULO PRESUPUESTO  BID JPO'!AT15+'CALCULO PRESUPUESTO  BID JPO'!AT26</f>
        <v>317683395.85536003</v>
      </c>
      <c r="E21" s="118">
        <f>'CALCULO PRESUPUESTO  BID JPO'!AW25+'CALCULO PRESUPUESTO  BID JPO'!AX28</f>
        <v>248950680</v>
      </c>
      <c r="F21" s="101">
        <f t="shared" si="0"/>
        <v>566634075.85536</v>
      </c>
      <c r="G21" s="6"/>
    </row>
    <row r="22" spans="1:6" ht="15">
      <c r="A22" s="98" t="s">
        <v>191</v>
      </c>
      <c r="B22" s="101">
        <v>30</v>
      </c>
      <c r="C22" s="101">
        <f>D22/B22</f>
        <v>303.507677369863</v>
      </c>
      <c r="D22" s="116">
        <f>'CALCULO PRESUPUESTO  BID JPO'!AT86</f>
        <v>9105.23032109589</v>
      </c>
      <c r="E22" s="118">
        <v>0</v>
      </c>
      <c r="F22" s="101">
        <f t="shared" si="0"/>
        <v>9105.23032109589</v>
      </c>
    </row>
    <row r="23" spans="1:6" ht="15">
      <c r="A23" s="98" t="s">
        <v>192</v>
      </c>
      <c r="B23" s="101">
        <v>0</v>
      </c>
      <c r="C23" s="101">
        <v>0</v>
      </c>
      <c r="D23" s="116">
        <v>0</v>
      </c>
      <c r="E23" s="118">
        <v>0</v>
      </c>
      <c r="F23" s="101">
        <f t="shared" si="0"/>
        <v>0</v>
      </c>
    </row>
    <row r="24" spans="1:6" ht="14.25">
      <c r="A24" s="100" t="s">
        <v>205</v>
      </c>
      <c r="B24" s="101">
        <v>9</v>
      </c>
      <c r="C24" s="101" t="e">
        <f>D24/B24</f>
        <v>#REF!</v>
      </c>
      <c r="D24" s="116" t="e">
        <f>'CALCULO PRESUPUESTO  BID JPO'!AT107</f>
        <v>#REF!</v>
      </c>
      <c r="E24" s="118">
        <v>0</v>
      </c>
      <c r="F24" s="101" t="e">
        <f t="shared" si="0"/>
        <v>#REF!</v>
      </c>
    </row>
    <row r="25" spans="1:6" ht="25.5">
      <c r="A25" s="120" t="s">
        <v>189</v>
      </c>
      <c r="B25" s="103"/>
      <c r="C25" s="103"/>
      <c r="D25" s="121">
        <f>SUM(D26:D34)</f>
        <v>360921559.293408</v>
      </c>
      <c r="E25" s="103">
        <f>SUM(E26:E34)</f>
        <v>403279687.964092</v>
      </c>
      <c r="F25" s="115">
        <f t="shared" si="0"/>
        <v>764201247.2574999</v>
      </c>
    </row>
    <row r="26" spans="1:7" ht="14.25">
      <c r="A26" s="100" t="s">
        <v>193</v>
      </c>
      <c r="B26" s="101">
        <v>42</v>
      </c>
      <c r="C26" s="101">
        <f>D26/B26</f>
        <v>7227878.9856</v>
      </c>
      <c r="D26" s="116">
        <f>'CALCULO PRESUPUESTO  BID JPO'!AT11+'CALCULO PRESUPUESTO  BID JPO'!AT13</f>
        <v>303570917.3952</v>
      </c>
      <c r="E26" s="118">
        <v>0</v>
      </c>
      <c r="F26" s="101">
        <f aca="true" t="shared" si="1" ref="F26:F34">D26+E26</f>
        <v>303570917.3952</v>
      </c>
      <c r="G26" s="6"/>
    </row>
    <row r="27" spans="1:6" ht="14.25">
      <c r="A27" s="100" t="s">
        <v>194</v>
      </c>
      <c r="B27" s="101">
        <v>42</v>
      </c>
      <c r="C27" s="101">
        <f>D27/B27</f>
        <v>861601.7270857142</v>
      </c>
      <c r="D27" s="116">
        <f>'CALCULO PRESUPUESTO  BID JPO'!AT85+'CALCULO PRESUPUESTO  BID JPO'!AT88+'CALCULO PRESUPUESTO  BID JPO'!AT89</f>
        <v>36187272.537599996</v>
      </c>
      <c r="E27" s="118">
        <v>0</v>
      </c>
      <c r="F27" s="101">
        <f t="shared" si="1"/>
        <v>36187272.537599996</v>
      </c>
    </row>
    <row r="28" spans="1:6" ht="14.25">
      <c r="A28" s="100" t="s">
        <v>192</v>
      </c>
      <c r="B28" s="101"/>
      <c r="C28" s="101"/>
      <c r="D28" s="116">
        <v>0</v>
      </c>
      <c r="E28" s="118">
        <v>0</v>
      </c>
      <c r="F28" s="101">
        <f t="shared" si="1"/>
        <v>0</v>
      </c>
    </row>
    <row r="29" spans="1:6" ht="14.25">
      <c r="A29" s="100" t="s">
        <v>195</v>
      </c>
      <c r="B29" s="101">
        <v>42</v>
      </c>
      <c r="C29" s="101">
        <f>E29/B29</f>
        <v>2209745.828571429</v>
      </c>
      <c r="D29" s="116">
        <v>0</v>
      </c>
      <c r="E29" s="118">
        <f>'CALCULO PRESUPUESTO  BID JPO'!AV58</f>
        <v>92809324.80000001</v>
      </c>
      <c r="F29" s="101">
        <f t="shared" si="1"/>
        <v>92809324.80000001</v>
      </c>
    </row>
    <row r="30" spans="1:6" ht="14.25">
      <c r="A30" s="100" t="s">
        <v>196</v>
      </c>
      <c r="B30" s="101"/>
      <c r="C30" s="101"/>
      <c r="D30" s="116">
        <v>0</v>
      </c>
      <c r="E30" s="118">
        <f>'CALCULO PRESUPUESTO  BID JPO'!AV52+'CALCULO PRESUPUESTO  BID JPO'!AV54+'CALCULO PRESUPUESTO  BID JPO'!AW97+'CALCULO PRESUPUESTO  BID JPO'!AU99</f>
        <v>214240705.0768</v>
      </c>
      <c r="F30" s="101">
        <f t="shared" si="1"/>
        <v>214240705.0768</v>
      </c>
    </row>
    <row r="31" spans="1:6" ht="14.25">
      <c r="A31" s="100" t="s">
        <v>197</v>
      </c>
      <c r="B31" s="101">
        <v>42</v>
      </c>
      <c r="C31" s="101">
        <f>(D31+E31)/B31</f>
        <v>500000</v>
      </c>
      <c r="D31" s="116">
        <f>'CALCULO PRESUPUESTO  BID JPO'!AT33+'CALCULO PRESUPUESTO  BID JPO'!AT34</f>
        <v>0</v>
      </c>
      <c r="E31" s="118">
        <f>'CALCULO PRESUPUESTO  BID JPO'!AV33+'CALCULO PRESUPUESTO  BID JPO'!AV34</f>
        <v>21000000</v>
      </c>
      <c r="F31" s="101">
        <f t="shared" si="1"/>
        <v>21000000</v>
      </c>
    </row>
    <row r="32" spans="1:6" ht="14.25">
      <c r="A32" s="100" t="s">
        <v>198</v>
      </c>
      <c r="B32" s="101">
        <v>42</v>
      </c>
      <c r="C32" s="101">
        <f>(D32+E32)/B32</f>
        <v>1624008.4478443812</v>
      </c>
      <c r="D32" s="116">
        <f>'CALCULO PRESUPUESTO  BID JPO'!AT78+'CALCULO PRESUPUESTO  BID JPO'!AT79+'CALCULO PRESUPUESTO  BID JPO'!AT80</f>
        <v>3163369.3606080003</v>
      </c>
      <c r="E32" s="118">
        <f>'CALCULO PRESUPUESTO  BID JPO'!AV36+'CALCULO PRESUPUESTO  BID JPO'!AV37+'CALCULO PRESUPUESTO  BID JPO'!AV38+'CALCULO PRESUPUESTO  BID JPO'!AV39+'CALCULO PRESUPUESTO  BID JPO'!AV40+'CALCULO PRESUPUESTO  BID JPO'!AV41+'CALCULO PRESUPUESTO  BID JPO'!AV42+'CALCULO PRESUPUESTO  BID JPO'!AV43+'CALCULO PRESUPUESTO  BID JPO'!AV69+'CALCULO PRESUPUESTO  BID JPO'!AV70+'CALCULO PRESUPUESTO  BID JPO'!AU71+'CALCULO PRESUPUESTO  BID JPO'!AV72+'CALCULO PRESUPUESTO  BID JPO'!AV73+'CALCULO PRESUPUESTO  BID JPO'!AV74+'CALCULO PRESUPUESTO  BID JPO'!AV75+'CALCULO PRESUPUESTO  BID JPO'!AV76+'CALCULO PRESUPUESTO  BID JPO'!AV77+'CALCULO PRESUPUESTO  BID JPO'!AV78+'CALCULO PRESUPUESTO  BID JPO'!AV79+'CALCULO PRESUPUESTO  BID JPO'!AV80+'CALCULO PRESUPUESTO  BID JPO'!AV81</f>
        <v>65044985.448856</v>
      </c>
      <c r="F32" s="101">
        <f t="shared" si="1"/>
        <v>68208354.80946401</v>
      </c>
    </row>
    <row r="33" spans="1:6" ht="14.25">
      <c r="A33" s="100" t="s">
        <v>199</v>
      </c>
      <c r="B33" s="101">
        <v>42</v>
      </c>
      <c r="C33" s="101">
        <f>(D33+E33)/B33</f>
        <v>671063.6342484768</v>
      </c>
      <c r="D33" s="116">
        <f>'CALCULO PRESUPUESTO  BID JPO'!AT19</f>
        <v>18000000</v>
      </c>
      <c r="E33" s="118">
        <f>'CALCULO PRESUPUESTO  BID JPO'!AV21</f>
        <v>10184672.638436027</v>
      </c>
      <c r="F33" s="101">
        <f t="shared" si="1"/>
        <v>28184672.638436027</v>
      </c>
    </row>
    <row r="34" spans="1:6" ht="14.25">
      <c r="A34" s="100" t="s">
        <v>200</v>
      </c>
      <c r="B34" s="101"/>
      <c r="C34" s="101"/>
      <c r="D34" s="116">
        <v>0</v>
      </c>
      <c r="E34" s="118">
        <v>0</v>
      </c>
      <c r="F34" s="101">
        <f t="shared" si="1"/>
        <v>0</v>
      </c>
    </row>
    <row r="35" spans="1:7" ht="18.75">
      <c r="A35" s="112" t="s">
        <v>1</v>
      </c>
      <c r="B35" s="113"/>
      <c r="C35" s="113"/>
      <c r="D35" s="117" t="e">
        <f>D25+D20+D15+D8+D3</f>
        <v>#REF!</v>
      </c>
      <c r="E35" s="119">
        <f>E25+E20+E15+E8+E3</f>
        <v>1140668867.664092</v>
      </c>
      <c r="F35" s="113" t="e">
        <f>F25+F20+F15+F8+F3</f>
        <v>#REF!</v>
      </c>
      <c r="G35" s="6"/>
    </row>
  </sheetData>
  <sheetProtection/>
  <mergeCells count="6">
    <mergeCell ref="F1:F2"/>
    <mergeCell ref="E1:E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="75" zoomScaleNormal="75" zoomScalePageLayoutView="0" workbookViewId="0" topLeftCell="A10">
      <selection activeCell="B1" sqref="B1:H1"/>
    </sheetView>
  </sheetViews>
  <sheetFormatPr defaultColWidth="11.421875" defaultRowHeight="12.75"/>
  <cols>
    <col min="1" max="1" width="3.57421875" style="0" customWidth="1"/>
    <col min="2" max="2" width="50.8515625" style="0" customWidth="1"/>
    <col min="3" max="3" width="51.8515625" style="0" customWidth="1"/>
    <col min="4" max="4" width="17.00390625" style="0" customWidth="1"/>
    <col min="5" max="5" width="55.28125" style="0" customWidth="1"/>
    <col min="6" max="6" width="54.28125" style="0" customWidth="1"/>
    <col min="7" max="7" width="17.8515625" style="0" customWidth="1"/>
    <col min="8" max="8" width="54.8515625" style="0" customWidth="1"/>
    <col min="9" max="9" width="2.8515625" style="0" customWidth="1"/>
    <col min="10" max="10" width="15.7109375" style="0" bestFit="1" customWidth="1"/>
  </cols>
  <sheetData>
    <row r="1" spans="2:8" ht="33.75" thickBot="1">
      <c r="B1" s="481" t="s">
        <v>310</v>
      </c>
      <c r="C1" s="481"/>
      <c r="D1" s="481"/>
      <c r="E1" s="481"/>
      <c r="F1" s="481"/>
      <c r="G1" s="481"/>
      <c r="H1" s="481"/>
    </row>
    <row r="2" spans="2:8" ht="109.5" customHeight="1" thickTop="1">
      <c r="B2" s="482" t="s">
        <v>321</v>
      </c>
      <c r="C2" s="483"/>
      <c r="D2" s="484"/>
      <c r="E2" s="485"/>
      <c r="F2" s="485"/>
      <c r="G2" s="486"/>
      <c r="H2" s="487"/>
    </row>
    <row r="3" spans="2:8" ht="88.5" customHeight="1">
      <c r="B3" s="488" t="s">
        <v>322</v>
      </c>
      <c r="C3" s="489"/>
      <c r="D3" s="489"/>
      <c r="E3" s="490"/>
      <c r="F3" s="490"/>
      <c r="G3" s="491"/>
      <c r="H3" s="492"/>
    </row>
    <row r="4" spans="2:8" ht="136.5" customHeight="1">
      <c r="B4" s="493" t="s">
        <v>323</v>
      </c>
      <c r="C4" s="494"/>
      <c r="D4" s="495"/>
      <c r="E4" s="496"/>
      <c r="F4" s="496"/>
      <c r="G4" s="497"/>
      <c r="H4" s="498"/>
    </row>
    <row r="5" spans="2:8" ht="128.25" customHeight="1" thickBot="1">
      <c r="B5" s="499" t="s">
        <v>324</v>
      </c>
      <c r="C5" s="500"/>
      <c r="D5" s="501"/>
      <c r="E5" s="501"/>
      <c r="F5" s="501"/>
      <c r="G5" s="501"/>
      <c r="H5" s="502"/>
    </row>
    <row r="6" spans="1:8" ht="70.5" customHeight="1" thickTop="1">
      <c r="A6" s="1" t="s">
        <v>386</v>
      </c>
      <c r="B6" s="323" t="s">
        <v>325</v>
      </c>
      <c r="C6" s="324" t="s">
        <v>326</v>
      </c>
      <c r="D6" s="325" t="s">
        <v>308</v>
      </c>
      <c r="E6" s="326" t="s">
        <v>311</v>
      </c>
      <c r="F6" s="326" t="s">
        <v>312</v>
      </c>
      <c r="G6" s="325" t="s">
        <v>313</v>
      </c>
      <c r="H6" s="327" t="s">
        <v>302</v>
      </c>
    </row>
    <row r="7" spans="2:10" ht="210" customHeight="1">
      <c r="B7" s="351" t="s">
        <v>336</v>
      </c>
      <c r="C7" s="328" t="s">
        <v>342</v>
      </c>
      <c r="D7" s="329">
        <v>1</v>
      </c>
      <c r="E7" s="328" t="s">
        <v>348</v>
      </c>
      <c r="F7" s="313" t="s">
        <v>354</v>
      </c>
      <c r="G7" s="330">
        <v>1</v>
      </c>
      <c r="H7" s="331" t="s">
        <v>361</v>
      </c>
      <c r="I7" s="311"/>
      <c r="J7" s="1"/>
    </row>
    <row r="8" spans="2:11" ht="65.25" customHeight="1">
      <c r="B8" s="332" t="s">
        <v>337</v>
      </c>
      <c r="C8" s="333" t="s">
        <v>343</v>
      </c>
      <c r="D8" s="329">
        <v>2</v>
      </c>
      <c r="E8" s="333" t="s">
        <v>349</v>
      </c>
      <c r="F8" s="313" t="s">
        <v>355</v>
      </c>
      <c r="G8" s="330">
        <v>2</v>
      </c>
      <c r="H8" s="331" t="s">
        <v>362</v>
      </c>
      <c r="I8" s="311"/>
      <c r="K8" s="1"/>
    </row>
    <row r="9" spans="2:10" ht="144">
      <c r="B9" s="334" t="s">
        <v>338</v>
      </c>
      <c r="C9" s="335" t="s">
        <v>344</v>
      </c>
      <c r="D9" s="336">
        <v>3</v>
      </c>
      <c r="E9" s="313" t="s">
        <v>350</v>
      </c>
      <c r="F9" s="313" t="s">
        <v>356</v>
      </c>
      <c r="G9" s="330">
        <v>3</v>
      </c>
      <c r="H9" s="331" t="s">
        <v>363</v>
      </c>
      <c r="I9" s="311"/>
      <c r="J9" s="337"/>
    </row>
    <row r="10" spans="2:10" ht="93.75" customHeight="1">
      <c r="B10" s="503" t="s">
        <v>339</v>
      </c>
      <c r="C10" s="477" t="s">
        <v>345</v>
      </c>
      <c r="D10" s="479">
        <v>4</v>
      </c>
      <c r="E10" s="477" t="s">
        <v>351</v>
      </c>
      <c r="F10" s="477" t="s">
        <v>357</v>
      </c>
      <c r="G10" s="330">
        <v>4</v>
      </c>
      <c r="H10" s="331" t="s">
        <v>364</v>
      </c>
      <c r="I10" s="311"/>
      <c r="J10" s="1"/>
    </row>
    <row r="11" spans="2:10" ht="55.5" customHeight="1">
      <c r="B11" s="504"/>
      <c r="C11" s="478"/>
      <c r="D11" s="480"/>
      <c r="E11" s="478"/>
      <c r="F11" s="478"/>
      <c r="G11" s="330">
        <v>5</v>
      </c>
      <c r="H11" s="331" t="s">
        <v>365</v>
      </c>
      <c r="I11" s="311"/>
      <c r="J11" s="1"/>
    </row>
    <row r="12" spans="2:10" ht="72">
      <c r="B12" s="503" t="s">
        <v>340</v>
      </c>
      <c r="C12" s="477" t="s">
        <v>346</v>
      </c>
      <c r="D12" s="479">
        <v>5</v>
      </c>
      <c r="E12" s="477" t="s">
        <v>352</v>
      </c>
      <c r="F12" s="313" t="s">
        <v>358</v>
      </c>
      <c r="G12" s="330">
        <v>6</v>
      </c>
      <c r="H12" s="331" t="s">
        <v>366</v>
      </c>
      <c r="I12" s="311"/>
      <c r="J12" s="1"/>
    </row>
    <row r="13" spans="2:10" ht="133.5" customHeight="1">
      <c r="B13" s="504"/>
      <c r="C13" s="478"/>
      <c r="D13" s="480"/>
      <c r="E13" s="478"/>
      <c r="F13" s="348" t="s">
        <v>359</v>
      </c>
      <c r="G13" s="349">
        <v>7</v>
      </c>
      <c r="H13" s="350" t="s">
        <v>367</v>
      </c>
      <c r="I13" s="311"/>
      <c r="J13" s="1"/>
    </row>
    <row r="14" spans="2:9" ht="169.5" customHeight="1" thickBot="1">
      <c r="B14" s="338" t="s">
        <v>341</v>
      </c>
      <c r="C14" s="339" t="s">
        <v>347</v>
      </c>
      <c r="D14" s="340">
        <v>6</v>
      </c>
      <c r="E14" s="341" t="s">
        <v>353</v>
      </c>
      <c r="F14" s="341" t="s">
        <v>360</v>
      </c>
      <c r="G14" s="342">
        <v>8</v>
      </c>
      <c r="H14" s="343" t="s">
        <v>368</v>
      </c>
      <c r="I14" s="311"/>
    </row>
    <row r="15" spans="2:7" s="19" customFormat="1" ht="15.75" customHeight="1" thickTop="1">
      <c r="B15" s="321"/>
      <c r="C15" s="322"/>
      <c r="D15" s="344"/>
      <c r="E15" s="322"/>
      <c r="F15" s="322"/>
      <c r="G15" s="344"/>
    </row>
    <row r="16" spans="2:6" ht="12.75">
      <c r="B16" s="345"/>
      <c r="C16" s="345"/>
      <c r="E16" s="346"/>
      <c r="F16" s="1"/>
    </row>
    <row r="17" spans="2:5" ht="12.75">
      <c r="B17" s="1"/>
      <c r="C17" s="1"/>
      <c r="E17" s="346"/>
    </row>
    <row r="18" spans="2:5" ht="12.75">
      <c r="B18" s="1"/>
      <c r="C18" s="1"/>
      <c r="E18" s="312"/>
    </row>
    <row r="19" ht="12.75">
      <c r="E19" s="312"/>
    </row>
    <row r="20" ht="12.75">
      <c r="E20" s="312"/>
    </row>
    <row r="21" ht="12.75">
      <c r="E21" s="312"/>
    </row>
    <row r="22" ht="12.75">
      <c r="E22" s="312"/>
    </row>
    <row r="23" ht="12.75">
      <c r="E23" s="312"/>
    </row>
    <row r="24" ht="12.75">
      <c r="E24" s="312"/>
    </row>
    <row r="25" ht="12.75">
      <c r="E25" s="312"/>
    </row>
    <row r="26" ht="12.75">
      <c r="E26" s="312"/>
    </row>
    <row r="27" ht="12.75">
      <c r="E27" s="312"/>
    </row>
    <row r="28" ht="12.75">
      <c r="E28" s="312"/>
    </row>
    <row r="29" ht="12.75">
      <c r="E29" s="312"/>
    </row>
    <row r="30" ht="12.75">
      <c r="E30" s="312"/>
    </row>
    <row r="31" ht="12.75">
      <c r="E31" s="312"/>
    </row>
  </sheetData>
  <sheetProtection/>
  <mergeCells count="14">
    <mergeCell ref="B12:B13"/>
    <mergeCell ref="C12:C13"/>
    <mergeCell ref="E12:E13"/>
    <mergeCell ref="D12:D13"/>
    <mergeCell ref="B10:B11"/>
    <mergeCell ref="C10:C11"/>
    <mergeCell ref="D10:D11"/>
    <mergeCell ref="E10:E11"/>
    <mergeCell ref="F10:F11"/>
    <mergeCell ref="B1:H1"/>
    <mergeCell ref="B2:H2"/>
    <mergeCell ref="B3:H3"/>
    <mergeCell ref="B4:H4"/>
    <mergeCell ref="B5:H5"/>
  </mergeCells>
  <printOptions horizontalCentered="1"/>
  <pageMargins left="0" right="0" top="0.3937007874015748" bottom="0" header="0.31496062992125984" footer="0.31496062992125984"/>
  <pageSetup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20.421875" style="0" customWidth="1"/>
    <col min="2" max="2" width="42.421875" style="0" customWidth="1"/>
    <col min="3" max="3" width="9.8515625" style="0" customWidth="1"/>
    <col min="4" max="4" width="9.7109375" style="0" customWidth="1"/>
    <col min="5" max="8" width="12.7109375" style="0" bestFit="1" customWidth="1"/>
    <col min="9" max="9" width="14.57421875" style="0" customWidth="1"/>
    <col min="10" max="10" width="13.7109375" style="0" bestFit="1" customWidth="1"/>
  </cols>
  <sheetData>
    <row r="1" spans="1:9" ht="38.25" customHeight="1">
      <c r="A1" s="505" t="s">
        <v>260</v>
      </c>
      <c r="B1" s="505"/>
      <c r="C1" s="505"/>
      <c r="D1" s="505"/>
      <c r="E1" s="505"/>
      <c r="F1" s="505"/>
      <c r="G1" s="505"/>
      <c r="H1" s="505"/>
      <c r="I1" s="505"/>
    </row>
    <row r="2" spans="1:9" ht="27" customHeight="1">
      <c r="A2" s="506" t="s">
        <v>264</v>
      </c>
      <c r="B2" s="506"/>
      <c r="C2" s="508" t="s">
        <v>265</v>
      </c>
      <c r="D2" s="508"/>
      <c r="E2" s="268" t="s">
        <v>266</v>
      </c>
      <c r="F2" s="268" t="s">
        <v>267</v>
      </c>
      <c r="G2" s="268" t="s">
        <v>268</v>
      </c>
      <c r="H2" s="268" t="s">
        <v>269</v>
      </c>
      <c r="I2" s="509" t="s">
        <v>259</v>
      </c>
    </row>
    <row r="3" spans="1:9" ht="25.5">
      <c r="A3" s="507"/>
      <c r="B3" s="507"/>
      <c r="C3" s="269" t="s">
        <v>25</v>
      </c>
      <c r="D3" s="269" t="s">
        <v>270</v>
      </c>
      <c r="E3" s="270">
        <v>2012</v>
      </c>
      <c r="F3" s="270">
        <v>2013</v>
      </c>
      <c r="G3" s="270">
        <v>2014</v>
      </c>
      <c r="H3" s="270">
        <v>2015</v>
      </c>
      <c r="I3" s="510"/>
    </row>
    <row r="4" spans="1:9" ht="24" customHeight="1">
      <c r="A4" s="511" t="s">
        <v>276</v>
      </c>
      <c r="B4" s="511"/>
      <c r="C4" s="271"/>
      <c r="D4" s="271"/>
      <c r="E4" s="272"/>
      <c r="F4" s="272"/>
      <c r="G4" s="272"/>
      <c r="H4" s="272"/>
      <c r="I4" s="273"/>
    </row>
    <row r="5" spans="1:9" ht="18">
      <c r="A5" s="274" t="s">
        <v>261</v>
      </c>
      <c r="B5" s="274" t="s">
        <v>271</v>
      </c>
      <c r="C5" s="275" t="s">
        <v>272</v>
      </c>
      <c r="D5" s="276"/>
      <c r="E5" s="6">
        <f>'CALCULO PRESUPUESTO  BID JPO'!F111</f>
        <v>3118364000</v>
      </c>
      <c r="F5" s="6">
        <f>'CALCULO PRESUPUESTO  BID JPO'!D153</f>
        <v>2715898510.3561645</v>
      </c>
      <c r="G5" s="6">
        <f>'CALCULO PRESUPUESTO  BID JPO'!D154</f>
        <v>3261330570.836822</v>
      </c>
      <c r="H5" s="6">
        <f>'CALCULO PRESUPUESTO  BID JPO'!D155</f>
        <v>1935152200.021303</v>
      </c>
      <c r="I5" s="11">
        <f>SUM(E5:H5)</f>
        <v>11030745281.21429</v>
      </c>
    </row>
    <row r="6" spans="1:9" ht="18">
      <c r="A6" s="274" t="s">
        <v>273</v>
      </c>
      <c r="B6" s="274" t="s">
        <v>225</v>
      </c>
      <c r="C6" s="277"/>
      <c r="D6" s="278" t="s">
        <v>272</v>
      </c>
      <c r="E6" s="6">
        <f>'CALCULO PRESUPUESTO  BID JPO'!H111</f>
        <v>543830857.6</v>
      </c>
      <c r="F6" s="6">
        <f>'CALCULO PRESUPUESTO  BID JPO'!E153</f>
        <v>84764907.3408</v>
      </c>
      <c r="G6" s="6">
        <f>'CALCULO PRESUPUESTO  BID JPO'!E154</f>
        <v>90210726.04656641</v>
      </c>
      <c r="H6" s="6">
        <f>'CALCULO PRESUPUESTO  BID JPO'!E155</f>
        <v>98777234.15451762</v>
      </c>
      <c r="I6" s="11">
        <f>SUM(E6:H6)</f>
        <v>817583725.1418841</v>
      </c>
    </row>
    <row r="7" spans="1:9" ht="18">
      <c r="A7" s="274" t="s">
        <v>277</v>
      </c>
      <c r="B7" s="274" t="s">
        <v>278</v>
      </c>
      <c r="C7" s="277" t="s">
        <v>272</v>
      </c>
      <c r="D7" s="277"/>
      <c r="E7" s="6">
        <f>+'CALCULO PRESUPUESTO  BID JPO'!F152</f>
        <v>561806074</v>
      </c>
      <c r="F7" s="6">
        <f>'CALCULO PRESUPUESTO  BID JPO'!F153</f>
        <v>464445248</v>
      </c>
      <c r="G7" s="6">
        <f>'CALCULO PRESUPUESTO  BID JPO'!F154</f>
        <v>356242320</v>
      </c>
      <c r="H7" s="6">
        <f>'CALCULO PRESUPUESTO  BID JPO'!F155</f>
        <v>373555054.4368</v>
      </c>
      <c r="I7" s="11">
        <f>SUM(E7:H7)</f>
        <v>1756048696.4368</v>
      </c>
    </row>
    <row r="8" spans="1:9" ht="18">
      <c r="A8" s="274" t="s">
        <v>274</v>
      </c>
      <c r="B8" s="274" t="s">
        <v>275</v>
      </c>
      <c r="C8" s="277"/>
      <c r="D8" s="277"/>
      <c r="E8" s="11">
        <f>SUM(E9:E21)</f>
        <v>25074432.000000004</v>
      </c>
      <c r="F8" s="11">
        <f>SUM(F9:F21)</f>
        <v>63162432.00000001</v>
      </c>
      <c r="G8" s="11">
        <f>SUM(G9:G21)</f>
        <v>65371535.99999999</v>
      </c>
      <c r="H8" s="11">
        <f>SUM(H9:H21)</f>
        <v>46391600.01600002</v>
      </c>
      <c r="I8" s="11">
        <f>SUM(E8:H8)</f>
        <v>200000000.01600003</v>
      </c>
    </row>
    <row r="9" spans="1:9" ht="18">
      <c r="A9" s="274"/>
      <c r="B9" s="356" t="s">
        <v>285</v>
      </c>
      <c r="C9" s="277" t="s">
        <v>272</v>
      </c>
      <c r="D9" s="277"/>
      <c r="E9" s="254">
        <f>'CALCULO PRESUPUESTO  BID JPO'!G161</f>
        <v>1379093.76</v>
      </c>
      <c r="F9" s="254">
        <f>'CALCULO PRESUPUESTO  BID JPO'!H161</f>
        <v>3473933.7600000002</v>
      </c>
      <c r="G9" s="254">
        <f>'CALCULO PRESUPUESTO  BID JPO'!I161</f>
        <v>3595434.48</v>
      </c>
      <c r="H9" s="254">
        <f>'CALCULO PRESUPUESTO  BID JPO'!J161</f>
        <v>2551538.00088</v>
      </c>
      <c r="I9" s="11"/>
    </row>
    <row r="10" spans="1:9" ht="18">
      <c r="A10" s="274"/>
      <c r="B10" s="356" t="s">
        <v>286</v>
      </c>
      <c r="C10" s="277" t="s">
        <v>272</v>
      </c>
      <c r="D10" s="277"/>
      <c r="E10" s="254">
        <f>'CALCULO PRESUPUESTO  BID JPO'!G162</f>
        <v>1817896.3199999998</v>
      </c>
      <c r="F10" s="254">
        <f>'CALCULO PRESUPUESTO  BID JPO'!H162</f>
        <v>4579276.319999999</v>
      </c>
      <c r="G10" s="254">
        <f>'CALCULO PRESUPUESTO  BID JPO'!I162</f>
        <v>4739436.359999999</v>
      </c>
      <c r="H10" s="254">
        <f>'CALCULO PRESUPUESTO  BID JPO'!J162</f>
        <v>3363391.00116</v>
      </c>
      <c r="I10" s="11"/>
    </row>
    <row r="11" spans="1:9" ht="18">
      <c r="A11" s="274"/>
      <c r="B11" s="356" t="s">
        <v>287</v>
      </c>
      <c r="C11" s="277" t="s">
        <v>272</v>
      </c>
      <c r="D11" s="277"/>
      <c r="E11" s="254">
        <f>'CALCULO PRESUPUESTO  BID JPO'!G163</f>
        <v>2005954.56</v>
      </c>
      <c r="F11" s="254">
        <f>'CALCULO PRESUPUESTO  BID JPO'!H163</f>
        <v>5052994.5600000005</v>
      </c>
      <c r="G11" s="254">
        <f>'CALCULO PRESUPUESTO  BID JPO'!I163</f>
        <v>5229722.88</v>
      </c>
      <c r="H11" s="254">
        <f>'CALCULO PRESUPUESTO  BID JPO'!J163</f>
        <v>3711328.0012800004</v>
      </c>
      <c r="I11" s="11"/>
    </row>
    <row r="12" spans="1:9" ht="18">
      <c r="A12" s="274"/>
      <c r="B12" s="356" t="s">
        <v>288</v>
      </c>
      <c r="C12" s="277" t="s">
        <v>272</v>
      </c>
      <c r="D12" s="277"/>
      <c r="E12" s="254">
        <f>'CALCULO PRESUPUESTO  BID JPO'!G164</f>
        <v>1504465.92</v>
      </c>
      <c r="F12" s="254">
        <f>'CALCULO PRESUPUESTO  BID JPO'!H164</f>
        <v>3789745.92</v>
      </c>
      <c r="G12" s="254">
        <f>'CALCULO PRESUPUESTO  BID JPO'!I164</f>
        <v>3922292.1599999997</v>
      </c>
      <c r="H12" s="254">
        <f>'CALCULO PRESUPUESTO  BID JPO'!J164</f>
        <v>2783496.00096</v>
      </c>
      <c r="I12" s="11"/>
    </row>
    <row r="13" spans="1:9" ht="18">
      <c r="A13" s="274"/>
      <c r="B13" s="356" t="s">
        <v>289</v>
      </c>
      <c r="C13" s="277" t="s">
        <v>272</v>
      </c>
      <c r="D13" s="277"/>
      <c r="E13" s="254">
        <f>'CALCULO PRESUPUESTO  BID JPO'!G165</f>
        <v>2005954.56</v>
      </c>
      <c r="F13" s="254">
        <f>'CALCULO PRESUPUESTO  BID JPO'!H165</f>
        <v>5052994.5600000005</v>
      </c>
      <c r="G13" s="254">
        <f>'CALCULO PRESUPUESTO  BID JPO'!I165</f>
        <v>5229722.88</v>
      </c>
      <c r="H13" s="254">
        <f>'CALCULO PRESUPUESTO  BID JPO'!J165</f>
        <v>3711328.0012800004</v>
      </c>
      <c r="I13" s="11"/>
    </row>
    <row r="14" spans="1:9" ht="18">
      <c r="A14" s="274"/>
      <c r="B14" s="356" t="s">
        <v>290</v>
      </c>
      <c r="C14" s="277" t="s">
        <v>272</v>
      </c>
      <c r="D14" s="277"/>
      <c r="E14" s="254">
        <f>'CALCULO PRESUPUESTO  BID JPO'!G166</f>
        <v>1379093.76</v>
      </c>
      <c r="F14" s="254">
        <f>'CALCULO PRESUPUESTO  BID JPO'!H166</f>
        <v>3473933.7600000002</v>
      </c>
      <c r="G14" s="254">
        <f>'CALCULO PRESUPUESTO  BID JPO'!I166</f>
        <v>3595434.48</v>
      </c>
      <c r="H14" s="254">
        <f>'CALCULO PRESUPUESTO  BID JPO'!J166</f>
        <v>2551538.00088</v>
      </c>
      <c r="I14" s="11"/>
    </row>
    <row r="15" spans="1:9" ht="18">
      <c r="A15" s="274"/>
      <c r="B15" s="356" t="s">
        <v>291</v>
      </c>
      <c r="C15" s="277" t="s">
        <v>272</v>
      </c>
      <c r="D15" s="277"/>
      <c r="E15" s="254">
        <f>'CALCULO PRESUPUESTO  BID JPO'!G167</f>
        <v>3510420.4800000004</v>
      </c>
      <c r="F15" s="254">
        <f>'CALCULO PRESUPUESTO  BID JPO'!H167</f>
        <v>8842740.48</v>
      </c>
      <c r="G15" s="254">
        <f>'CALCULO PRESUPUESTO  BID JPO'!I167</f>
        <v>9152015.040000001</v>
      </c>
      <c r="H15" s="254">
        <f>'CALCULO PRESUPUESTO  BID JPO'!J167</f>
        <v>6494824.002240001</v>
      </c>
      <c r="I15" s="11"/>
    </row>
    <row r="16" spans="1:9" ht="18">
      <c r="A16" s="274"/>
      <c r="B16" s="357" t="s">
        <v>292</v>
      </c>
      <c r="C16" s="277" t="s">
        <v>272</v>
      </c>
      <c r="D16" s="277"/>
      <c r="E16" s="254">
        <f>'CALCULO PRESUPUESTO  BID JPO'!G168</f>
        <v>3385048.3200000003</v>
      </c>
      <c r="F16" s="254">
        <f>'CALCULO PRESUPUESTO  BID JPO'!H168</f>
        <v>8526928.32</v>
      </c>
      <c r="G16" s="254">
        <f>'CALCULO PRESUPUESTO  BID JPO'!I168</f>
        <v>8825157.360000001</v>
      </c>
      <c r="H16" s="254">
        <f>'CALCULO PRESUPUESTO  BID JPO'!J168</f>
        <v>6262866.002160001</v>
      </c>
      <c r="I16" s="11"/>
    </row>
    <row r="17" spans="1:9" ht="18">
      <c r="A17" s="274"/>
      <c r="B17" s="358" t="s">
        <v>293</v>
      </c>
      <c r="C17" s="277" t="s">
        <v>272</v>
      </c>
      <c r="D17" s="277"/>
      <c r="E17" s="254">
        <f>'CALCULO PRESUPUESTO  BID JPO'!G169</f>
        <v>1379093.76</v>
      </c>
      <c r="F17" s="254">
        <f>'CALCULO PRESUPUESTO  BID JPO'!H169</f>
        <v>3473933.7600000002</v>
      </c>
      <c r="G17" s="254">
        <f>'CALCULO PRESUPUESTO  BID JPO'!I169</f>
        <v>3595434.48</v>
      </c>
      <c r="H17" s="254">
        <f>'CALCULO PRESUPUESTO  BID JPO'!J169</f>
        <v>2551538.00088</v>
      </c>
      <c r="I17" s="11"/>
    </row>
    <row r="18" spans="1:9" ht="18">
      <c r="A18" s="274"/>
      <c r="B18" s="358" t="s">
        <v>294</v>
      </c>
      <c r="C18" s="277" t="s">
        <v>272</v>
      </c>
      <c r="D18" s="277"/>
      <c r="E18" s="254">
        <f>'CALCULO PRESUPUESTO  BID JPO'!G170</f>
        <v>1817896.3199999998</v>
      </c>
      <c r="F18" s="254">
        <f>'CALCULO PRESUPUESTO  BID JPO'!H170</f>
        <v>4579276.319999999</v>
      </c>
      <c r="G18" s="254">
        <f>'CALCULO PRESUPUESTO  BID JPO'!I170</f>
        <v>4739436.359999999</v>
      </c>
      <c r="H18" s="254">
        <f>'CALCULO PRESUPUESTO  BID JPO'!J170</f>
        <v>3363391.00116</v>
      </c>
      <c r="I18" s="11"/>
    </row>
    <row r="19" spans="1:9" ht="18">
      <c r="A19" s="274"/>
      <c r="B19" s="358" t="s">
        <v>295</v>
      </c>
      <c r="C19" s="277" t="s">
        <v>272</v>
      </c>
      <c r="D19" s="277"/>
      <c r="E19" s="254">
        <f>'CALCULO PRESUPUESTO  BID JPO'!G171</f>
        <v>1379093.76</v>
      </c>
      <c r="F19" s="254">
        <f>'CALCULO PRESUPUESTO  BID JPO'!H171</f>
        <v>3473933.7600000002</v>
      </c>
      <c r="G19" s="254">
        <f>'CALCULO PRESUPUESTO  BID JPO'!I171</f>
        <v>3595434.48</v>
      </c>
      <c r="H19" s="254">
        <f>'CALCULO PRESUPUESTO  BID JPO'!J171</f>
        <v>2551538.00088</v>
      </c>
      <c r="I19" s="11"/>
    </row>
    <row r="20" spans="1:9" ht="18">
      <c r="A20" s="274"/>
      <c r="B20" s="358" t="s">
        <v>296</v>
      </c>
      <c r="C20" s="277" t="s">
        <v>272</v>
      </c>
      <c r="D20" s="277"/>
      <c r="E20" s="254">
        <f>'CALCULO PRESUPUESTO  BID JPO'!G172</f>
        <v>1253721.6</v>
      </c>
      <c r="F20" s="254">
        <f>'CALCULO PRESUPUESTO  BID JPO'!H172</f>
        <v>3158121.6</v>
      </c>
      <c r="G20" s="254">
        <f>'CALCULO PRESUPUESTO  BID JPO'!I172</f>
        <v>3268576.8000000003</v>
      </c>
      <c r="H20" s="254">
        <f>'CALCULO PRESUPUESTO  BID JPO'!J172</f>
        <v>2319580.0008</v>
      </c>
      <c r="I20" s="11"/>
    </row>
    <row r="21" spans="1:9" ht="18">
      <c r="A21" s="274"/>
      <c r="B21" s="358" t="s">
        <v>297</v>
      </c>
      <c r="C21" s="277" t="s">
        <v>272</v>
      </c>
      <c r="D21" s="277"/>
      <c r="E21" s="254">
        <f>'CALCULO PRESUPUESTO  BID JPO'!G173</f>
        <v>2256698.88</v>
      </c>
      <c r="F21" s="254">
        <f>'CALCULO PRESUPUESTO  BID JPO'!H173</f>
        <v>5684618.88</v>
      </c>
      <c r="G21" s="254">
        <f>'CALCULO PRESUPUESTO  BID JPO'!I173</f>
        <v>5883438.24</v>
      </c>
      <c r="H21" s="254">
        <f>'CALCULO PRESUPUESTO  BID JPO'!J173</f>
        <v>4175244.0014400003</v>
      </c>
      <c r="I21" s="11"/>
    </row>
    <row r="22" spans="1:9" ht="18">
      <c r="A22" s="512" t="s">
        <v>369</v>
      </c>
      <c r="B22" s="512"/>
      <c r="C22" s="279"/>
      <c r="D22" s="279"/>
      <c r="E22" s="280">
        <f>E5+E6+E7+E8</f>
        <v>4249075363.6</v>
      </c>
      <c r="F22" s="280">
        <f>F5+F6+F7+F8</f>
        <v>3328271097.6969643</v>
      </c>
      <c r="G22" s="280">
        <f>G5+G6+G7+G8</f>
        <v>3773155152.8833885</v>
      </c>
      <c r="H22" s="280">
        <f>H5+H6+H7+H8</f>
        <v>2453876088.62862</v>
      </c>
      <c r="I22" s="281">
        <f>SUM(I5:I8)</f>
        <v>13804377702.808975</v>
      </c>
    </row>
    <row r="23" spans="3:9" ht="23.25">
      <c r="C23" s="282"/>
      <c r="D23" s="282"/>
      <c r="I23" s="6"/>
    </row>
    <row r="24" spans="3:4" ht="23.25">
      <c r="C24" s="282"/>
      <c r="D24" s="282"/>
    </row>
    <row r="25" spans="3:4" ht="23.25">
      <c r="C25" s="282"/>
      <c r="D25" s="282"/>
    </row>
    <row r="26" spans="3:4" ht="23.25">
      <c r="C26" s="282"/>
      <c r="D26" s="282"/>
    </row>
    <row r="27" spans="3:4" ht="23.25">
      <c r="C27" s="282"/>
      <c r="D27" s="282"/>
    </row>
    <row r="28" spans="3:4" ht="23.25">
      <c r="C28" s="282"/>
      <c r="D28" s="282"/>
    </row>
    <row r="29" spans="3:4" ht="23.25">
      <c r="C29" s="282"/>
      <c r="D29" s="282"/>
    </row>
    <row r="30" spans="3:4" ht="23.25">
      <c r="C30" s="282"/>
      <c r="D30" s="282"/>
    </row>
    <row r="31" spans="3:4" ht="23.25">
      <c r="C31" s="282"/>
      <c r="D31" s="282"/>
    </row>
    <row r="32" spans="3:4" ht="23.25">
      <c r="C32" s="282"/>
      <c r="D32" s="282"/>
    </row>
    <row r="33" spans="3:4" ht="23.25">
      <c r="C33" s="282"/>
      <c r="D33" s="282"/>
    </row>
    <row r="34" spans="3:4" ht="23.25">
      <c r="C34" s="282"/>
      <c r="D34" s="282"/>
    </row>
    <row r="35" spans="3:4" ht="23.25">
      <c r="C35" s="282"/>
      <c r="D35" s="282"/>
    </row>
    <row r="36" spans="3:4" ht="23.25">
      <c r="C36" s="282"/>
      <c r="D36" s="282"/>
    </row>
    <row r="37" spans="3:4" ht="23.25">
      <c r="C37" s="282"/>
      <c r="D37" s="282"/>
    </row>
  </sheetData>
  <sheetProtection/>
  <mergeCells count="6">
    <mergeCell ref="A1:I1"/>
    <mergeCell ref="A2:B3"/>
    <mergeCell ref="C2:D2"/>
    <mergeCell ref="I2:I3"/>
    <mergeCell ref="A4:B4"/>
    <mergeCell ref="A22:B22"/>
  </mergeCells>
  <printOptions/>
  <pageMargins left="0.7" right="0.7" top="0.75" bottom="0.75" header="0.3" footer="0.3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8"/>
  <sheetViews>
    <sheetView zoomScale="98" zoomScaleNormal="98" zoomScalePageLayoutView="0" workbookViewId="0" topLeftCell="A115">
      <selection activeCell="E102" sqref="E102"/>
    </sheetView>
  </sheetViews>
  <sheetFormatPr defaultColWidth="11.421875" defaultRowHeight="12.75"/>
  <cols>
    <col min="1" max="1" width="10.00390625" style="0" customWidth="1"/>
    <col min="2" max="2" width="9.28125" style="0" customWidth="1"/>
    <col min="3" max="3" width="66.8515625" style="0" customWidth="1"/>
    <col min="4" max="4" width="29.57421875" style="0" customWidth="1"/>
    <col min="5" max="5" width="7.00390625" style="365" customWidth="1"/>
    <col min="6" max="7" width="15.8515625" style="0" bestFit="1" customWidth="1"/>
    <col min="8" max="8" width="17.8515625" style="0" bestFit="1" customWidth="1"/>
    <col min="9" max="9" width="17.8515625" style="0" customWidth="1"/>
    <col min="10" max="10" width="15.8515625" style="0" bestFit="1" customWidth="1"/>
  </cols>
  <sheetData>
    <row r="1" spans="1:10" ht="20.25">
      <c r="A1" s="533" t="s">
        <v>309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3:9" ht="15">
      <c r="C2" s="291"/>
      <c r="D2" s="291"/>
      <c r="E2" s="359"/>
      <c r="F2" s="291"/>
      <c r="G2" s="291"/>
      <c r="H2" s="291"/>
      <c r="I2" s="291"/>
    </row>
    <row r="3" spans="1:10" ht="14.25" customHeight="1">
      <c r="A3" s="534" t="s">
        <v>308</v>
      </c>
      <c r="B3" s="534" t="s">
        <v>307</v>
      </c>
      <c r="C3" s="542" t="s">
        <v>302</v>
      </c>
      <c r="D3" s="539" t="s">
        <v>243</v>
      </c>
      <c r="E3" s="524" t="s">
        <v>244</v>
      </c>
      <c r="F3" s="515" t="s">
        <v>303</v>
      </c>
      <c r="G3" s="515"/>
      <c r="H3" s="515"/>
      <c r="I3" s="515"/>
      <c r="J3" s="521" t="s">
        <v>1</v>
      </c>
    </row>
    <row r="4" spans="1:10" ht="15" customHeight="1">
      <c r="A4" s="535"/>
      <c r="B4" s="537"/>
      <c r="C4" s="543"/>
      <c r="D4" s="540"/>
      <c r="E4" s="525"/>
      <c r="F4" s="513" t="s">
        <v>327</v>
      </c>
      <c r="G4" s="521" t="s">
        <v>304</v>
      </c>
      <c r="H4" s="521" t="s">
        <v>314</v>
      </c>
      <c r="I4" s="523" t="s">
        <v>315</v>
      </c>
      <c r="J4" s="523"/>
    </row>
    <row r="5" spans="1:10" ht="15" customHeight="1">
      <c r="A5" s="536"/>
      <c r="B5" s="538"/>
      <c r="C5" s="544"/>
      <c r="D5" s="541"/>
      <c r="E5" s="526"/>
      <c r="F5" s="514"/>
      <c r="G5" s="522"/>
      <c r="H5" s="522"/>
      <c r="I5" s="522"/>
      <c r="J5" s="522"/>
    </row>
    <row r="6" spans="1:13" ht="14.25">
      <c r="A6" s="527">
        <v>1</v>
      </c>
      <c r="B6" s="527">
        <v>1</v>
      </c>
      <c r="C6" s="531" t="s">
        <v>361</v>
      </c>
      <c r="D6" s="252" t="s">
        <v>245</v>
      </c>
      <c r="E6" s="360"/>
      <c r="F6" s="253"/>
      <c r="G6" s="304"/>
      <c r="H6" s="304"/>
      <c r="I6" s="304"/>
      <c r="J6" s="305"/>
      <c r="K6" s="6"/>
      <c r="L6" s="6"/>
      <c r="M6" s="6"/>
    </row>
    <row r="7" spans="1:13" ht="14.25">
      <c r="A7" s="528"/>
      <c r="B7" s="528"/>
      <c r="C7" s="531"/>
      <c r="D7" s="252" t="s">
        <v>246</v>
      </c>
      <c r="E7" s="360"/>
      <c r="F7" s="253"/>
      <c r="G7" s="304"/>
      <c r="H7" s="304"/>
      <c r="I7" s="304"/>
      <c r="J7" s="305"/>
      <c r="K7" s="6"/>
      <c r="L7" s="6"/>
      <c r="M7" s="6"/>
    </row>
    <row r="8" spans="1:13" ht="28.5">
      <c r="A8" s="528"/>
      <c r="B8" s="528"/>
      <c r="C8" s="531"/>
      <c r="D8" s="252" t="s">
        <v>372</v>
      </c>
      <c r="E8" s="360">
        <v>0.05</v>
      </c>
      <c r="F8" s="314">
        <f>F$102*$E8</f>
        <v>90543092.88</v>
      </c>
      <c r="G8" s="314">
        <f>G$102*$E8</f>
        <v>87244520.26704001</v>
      </c>
      <c r="H8" s="314">
        <f>H$102*$E8</f>
        <v>86582513.67452832</v>
      </c>
      <c r="I8" s="314">
        <f>I$102*$E8</f>
        <v>75834869.42952149</v>
      </c>
      <c r="J8" s="305">
        <f>SUM(F8:I8)</f>
        <v>340204996.2510898</v>
      </c>
      <c r="K8" s="6"/>
      <c r="L8" s="6"/>
      <c r="M8" s="6"/>
    </row>
    <row r="9" spans="1:13" ht="14.25">
      <c r="A9" s="528"/>
      <c r="B9" s="528"/>
      <c r="C9" s="531"/>
      <c r="D9" s="256" t="s">
        <v>247</v>
      </c>
      <c r="E9" s="361">
        <v>0.1</v>
      </c>
      <c r="F9" s="314">
        <f>F$103*$E9</f>
        <v>81120000</v>
      </c>
      <c r="G9" s="314">
        <f>G$103*$E9</f>
        <v>85825307.83561644</v>
      </c>
      <c r="H9" s="314">
        <f>H$103*$E9</f>
        <v>90265880.9700822</v>
      </c>
      <c r="I9" s="314">
        <f>I$103*$E9</f>
        <v>1634510.89189348</v>
      </c>
      <c r="J9" s="305">
        <f aca="true" t="shared" si="0" ref="J9:J15">SUM(F9:I9)</f>
        <v>258845699.6975921</v>
      </c>
      <c r="K9" s="6"/>
      <c r="L9" s="6"/>
      <c r="M9" s="6"/>
    </row>
    <row r="10" spans="1:13" ht="14.25">
      <c r="A10" s="528"/>
      <c r="B10" s="528"/>
      <c r="C10" s="531"/>
      <c r="D10" s="257" t="s">
        <v>248</v>
      </c>
      <c r="E10" s="362">
        <v>0.05</v>
      </c>
      <c r="F10" s="314">
        <f>F$104*$E10</f>
        <v>16980000</v>
      </c>
      <c r="G10" s="314">
        <f>G$104*$E10</f>
        <v>14480000</v>
      </c>
      <c r="H10" s="314">
        <f>H$104*$E10</f>
        <v>14480000</v>
      </c>
      <c r="I10" s="314">
        <f>I$104*$E10</f>
        <v>17480000</v>
      </c>
      <c r="J10" s="305">
        <f t="shared" si="0"/>
        <v>63420000</v>
      </c>
      <c r="K10" s="6"/>
      <c r="L10" s="6"/>
      <c r="M10" s="6"/>
    </row>
    <row r="11" spans="1:13" ht="14.25">
      <c r="A11" s="528"/>
      <c r="B11" s="528"/>
      <c r="C11" s="531"/>
      <c r="D11" s="256" t="s">
        <v>249</v>
      </c>
      <c r="E11" s="361"/>
      <c r="F11" s="314"/>
      <c r="G11" s="314"/>
      <c r="H11" s="314"/>
      <c r="I11" s="314"/>
      <c r="J11" s="314">
        <f t="shared" si="0"/>
        <v>0</v>
      </c>
      <c r="K11" s="6"/>
      <c r="L11" s="6"/>
      <c r="M11" s="6"/>
    </row>
    <row r="12" spans="1:13" ht="14.25">
      <c r="A12" s="528"/>
      <c r="B12" s="528"/>
      <c r="C12" s="531"/>
      <c r="D12" s="257" t="s">
        <v>250</v>
      </c>
      <c r="E12" s="362">
        <v>0.05</v>
      </c>
      <c r="F12" s="314">
        <f>F$106*$E12</f>
        <v>6531675.300000001</v>
      </c>
      <c r="G12" s="314">
        <f>G$106*$E12</f>
        <v>2723332.7</v>
      </c>
      <c r="H12" s="314">
        <f>H$106*$E12</f>
        <v>22476935.996600002</v>
      </c>
      <c r="I12" s="314">
        <f>I$106*$E12</f>
        <v>10351546.4254428</v>
      </c>
      <c r="J12" s="314">
        <f t="shared" si="0"/>
        <v>42083490.4220428</v>
      </c>
      <c r="K12" s="6"/>
      <c r="L12" s="6"/>
      <c r="M12" s="6"/>
    </row>
    <row r="13" spans="1:13" ht="14.25">
      <c r="A13" s="528"/>
      <c r="B13" s="528"/>
      <c r="C13" s="531"/>
      <c r="D13" s="256" t="s">
        <v>251</v>
      </c>
      <c r="E13" s="361"/>
      <c r="F13" s="314"/>
      <c r="G13" s="314"/>
      <c r="H13" s="314"/>
      <c r="I13" s="314"/>
      <c r="J13" s="314">
        <f t="shared" si="0"/>
        <v>0</v>
      </c>
      <c r="K13" s="6"/>
      <c r="L13" s="6"/>
      <c r="M13" s="6"/>
    </row>
    <row r="14" spans="1:13" ht="14.25">
      <c r="A14" s="528"/>
      <c r="B14" s="528"/>
      <c r="C14" s="531"/>
      <c r="D14" s="256" t="s">
        <v>252</v>
      </c>
      <c r="E14" s="361">
        <v>0</v>
      </c>
      <c r="F14" s="314"/>
      <c r="G14" s="314"/>
      <c r="H14" s="314"/>
      <c r="I14" s="314"/>
      <c r="J14" s="314">
        <f t="shared" si="0"/>
        <v>0</v>
      </c>
      <c r="K14" s="6"/>
      <c r="L14" s="6"/>
      <c r="M14" s="6"/>
    </row>
    <row r="15" spans="1:13" ht="14.25">
      <c r="A15" s="529"/>
      <c r="B15" s="529"/>
      <c r="C15" s="532"/>
      <c r="D15" s="306" t="s">
        <v>253</v>
      </c>
      <c r="E15" s="363">
        <v>0.05</v>
      </c>
      <c r="F15" s="315">
        <f>F$109*$E15</f>
        <v>35696500</v>
      </c>
      <c r="G15" s="315">
        <f>G$109*$E15</f>
        <v>19053048</v>
      </c>
      <c r="H15" s="315">
        <f>H$109*$E15</f>
        <v>19985367.488</v>
      </c>
      <c r="I15" s="315">
        <f>I$109*$E15</f>
        <v>18210133.13052</v>
      </c>
      <c r="J15" s="315">
        <f t="shared" si="0"/>
        <v>92945048.61852</v>
      </c>
      <c r="K15" s="6"/>
      <c r="L15" s="6"/>
      <c r="M15" s="6"/>
    </row>
    <row r="16" spans="1:13" ht="24" customHeight="1">
      <c r="A16" s="347"/>
      <c r="B16" s="347"/>
      <c r="C16" s="252"/>
      <c r="D16" s="257"/>
      <c r="E16" s="362"/>
      <c r="F16" s="315">
        <f>SUM(F8:F15)</f>
        <v>230871268.18</v>
      </c>
      <c r="G16" s="315">
        <f>SUM(G8:G15)</f>
        <v>209326208.80265644</v>
      </c>
      <c r="H16" s="315">
        <f>SUM(H8:H15)</f>
        <v>233790698.12921053</v>
      </c>
      <c r="I16" s="315">
        <f>SUM(I8:I15)</f>
        <v>123511059.87737776</v>
      </c>
      <c r="J16" s="315">
        <f>SUM(J8:J15)</f>
        <v>797499234.9892448</v>
      </c>
      <c r="K16" s="6"/>
      <c r="L16" s="6"/>
      <c r="M16" s="6"/>
    </row>
    <row r="17" spans="1:13" ht="14.25">
      <c r="A17" s="527">
        <v>2</v>
      </c>
      <c r="B17" s="527">
        <v>2</v>
      </c>
      <c r="C17" s="530" t="s">
        <v>362</v>
      </c>
      <c r="D17" s="308" t="s">
        <v>245</v>
      </c>
      <c r="E17" s="364"/>
      <c r="F17" s="262"/>
      <c r="G17" s="309"/>
      <c r="H17" s="309"/>
      <c r="I17" s="309"/>
      <c r="J17" s="310"/>
      <c r="K17" s="6"/>
      <c r="L17" s="6"/>
      <c r="M17" s="6"/>
    </row>
    <row r="18" spans="1:13" ht="14.25">
      <c r="A18" s="528"/>
      <c r="B18" s="528"/>
      <c r="C18" s="531"/>
      <c r="D18" s="252" t="s">
        <v>246</v>
      </c>
      <c r="E18" s="360"/>
      <c r="F18" s="253"/>
      <c r="G18" s="304"/>
      <c r="H18" s="304"/>
      <c r="I18" s="304"/>
      <c r="J18" s="305"/>
      <c r="K18" s="6"/>
      <c r="L18" s="6"/>
      <c r="M18" s="6"/>
    </row>
    <row r="19" spans="1:13" ht="14.25">
      <c r="A19" s="528"/>
      <c r="B19" s="528"/>
      <c r="C19" s="531"/>
      <c r="D19" s="252" t="s">
        <v>372</v>
      </c>
      <c r="E19" s="360">
        <v>0.1</v>
      </c>
      <c r="F19" s="314">
        <f>F$102*$E19</f>
        <v>181086185.76</v>
      </c>
      <c r="G19" s="314">
        <f>G$102*$E19</f>
        <v>174489040.53408003</v>
      </c>
      <c r="H19" s="314">
        <f>H$102*$E19</f>
        <v>173165027.34905663</v>
      </c>
      <c r="I19" s="314">
        <f>I$102*$E19</f>
        <v>151669738.85904297</v>
      </c>
      <c r="J19" s="305">
        <f>SUM(F19:I19)</f>
        <v>680409992.5021796</v>
      </c>
      <c r="K19" s="6"/>
      <c r="L19" s="6"/>
      <c r="M19" s="6"/>
    </row>
    <row r="20" spans="1:13" ht="14.25">
      <c r="A20" s="528"/>
      <c r="B20" s="528"/>
      <c r="C20" s="531"/>
      <c r="D20" s="256" t="s">
        <v>247</v>
      </c>
      <c r="E20" s="361">
        <v>0.05</v>
      </c>
      <c r="F20" s="314">
        <f>F$103*$E20</f>
        <v>40560000</v>
      </c>
      <c r="G20" s="314">
        <f>G$103*$E20</f>
        <v>42912653.91780822</v>
      </c>
      <c r="H20" s="314">
        <f>H$103*$E20</f>
        <v>45132940.4850411</v>
      </c>
      <c r="I20" s="314">
        <f>I$103*$E20</f>
        <v>817255.44594674</v>
      </c>
      <c r="J20" s="305">
        <f aca="true" t="shared" si="1" ref="J20:J26">SUM(F20:I20)</f>
        <v>129422849.84879605</v>
      </c>
      <c r="K20" s="6"/>
      <c r="L20" s="6"/>
      <c r="M20" s="6"/>
    </row>
    <row r="21" spans="1:13" ht="14.25">
      <c r="A21" s="528"/>
      <c r="B21" s="528"/>
      <c r="C21" s="531"/>
      <c r="D21" s="257" t="s">
        <v>248</v>
      </c>
      <c r="E21" s="362">
        <v>0.15</v>
      </c>
      <c r="F21" s="314">
        <f>F$104*$E21</f>
        <v>50940000</v>
      </c>
      <c r="G21" s="314">
        <f>G$104*$E21</f>
        <v>43440000</v>
      </c>
      <c r="H21" s="314">
        <f>H$104*$E21</f>
        <v>43440000</v>
      </c>
      <c r="I21" s="314">
        <f>I$104*$E21</f>
        <v>52440000</v>
      </c>
      <c r="J21" s="305">
        <f t="shared" si="1"/>
        <v>190260000</v>
      </c>
      <c r="K21" s="6"/>
      <c r="L21" s="6"/>
      <c r="M21" s="6"/>
    </row>
    <row r="22" spans="1:13" ht="14.25">
      <c r="A22" s="528"/>
      <c r="B22" s="528"/>
      <c r="C22" s="531"/>
      <c r="D22" s="256" t="s">
        <v>249</v>
      </c>
      <c r="E22" s="361"/>
      <c r="F22" s="314"/>
      <c r="G22" s="304"/>
      <c r="H22" s="304"/>
      <c r="I22" s="304"/>
      <c r="J22" s="305">
        <f t="shared" si="1"/>
        <v>0</v>
      </c>
      <c r="K22" s="6"/>
      <c r="L22" s="6"/>
      <c r="M22" s="6"/>
    </row>
    <row r="23" spans="1:13" ht="14.25">
      <c r="A23" s="528"/>
      <c r="B23" s="528"/>
      <c r="C23" s="531"/>
      <c r="D23" s="257" t="s">
        <v>250</v>
      </c>
      <c r="E23" s="362">
        <v>0.05</v>
      </c>
      <c r="F23" s="314">
        <f>F$106*$E23</f>
        <v>6531675.300000001</v>
      </c>
      <c r="G23" s="314">
        <f>G$106*$E23</f>
        <v>2723332.7</v>
      </c>
      <c r="H23" s="314">
        <f>H$106*$E23</f>
        <v>22476935.996600002</v>
      </c>
      <c r="I23" s="314">
        <f>I$106*$E23</f>
        <v>10351546.4254428</v>
      </c>
      <c r="J23" s="305">
        <f t="shared" si="1"/>
        <v>42083490.4220428</v>
      </c>
      <c r="K23" s="6"/>
      <c r="L23" s="6"/>
      <c r="M23" s="6"/>
    </row>
    <row r="24" spans="1:13" ht="14.25">
      <c r="A24" s="528"/>
      <c r="B24" s="528"/>
      <c r="C24" s="531"/>
      <c r="D24" s="256" t="s">
        <v>251</v>
      </c>
      <c r="E24" s="361"/>
      <c r="F24" s="314"/>
      <c r="G24" s="314"/>
      <c r="H24" s="314"/>
      <c r="I24" s="314"/>
      <c r="J24" s="314">
        <f t="shared" si="1"/>
        <v>0</v>
      </c>
      <c r="K24" s="6"/>
      <c r="L24" s="6"/>
      <c r="M24" s="6"/>
    </row>
    <row r="25" spans="1:13" ht="14.25">
      <c r="A25" s="528"/>
      <c r="B25" s="528"/>
      <c r="C25" s="531"/>
      <c r="D25" s="256" t="s">
        <v>252</v>
      </c>
      <c r="E25" s="361">
        <v>0.5</v>
      </c>
      <c r="F25" s="314">
        <f>F$108*$E25</f>
        <v>221425000</v>
      </c>
      <c r="G25" s="314">
        <f>G$108*$E25</f>
        <v>0</v>
      </c>
      <c r="H25" s="314">
        <f>H$108*$E25</f>
        <v>0</v>
      </c>
      <c r="I25" s="314">
        <f>I$108*$E25</f>
        <v>0</v>
      </c>
      <c r="J25" s="314">
        <f t="shared" si="1"/>
        <v>221425000</v>
      </c>
      <c r="K25" s="6"/>
      <c r="L25" s="6"/>
      <c r="M25" s="6"/>
    </row>
    <row r="26" spans="1:13" ht="14.25">
      <c r="A26" s="529"/>
      <c r="B26" s="529"/>
      <c r="C26" s="532"/>
      <c r="D26" s="306" t="s">
        <v>253</v>
      </c>
      <c r="E26" s="363">
        <v>0.05</v>
      </c>
      <c r="F26" s="315">
        <f>F$109*$E26</f>
        <v>35696500</v>
      </c>
      <c r="G26" s="315">
        <f>G$109*$E26</f>
        <v>19053048</v>
      </c>
      <c r="H26" s="315">
        <f>H$109*$E26</f>
        <v>19985367.488</v>
      </c>
      <c r="I26" s="315">
        <f>I$109*$E26</f>
        <v>18210133.13052</v>
      </c>
      <c r="J26" s="315">
        <f t="shared" si="1"/>
        <v>92945048.61852</v>
      </c>
      <c r="K26" s="6"/>
      <c r="L26" s="6"/>
      <c r="M26" s="6"/>
    </row>
    <row r="27" spans="1:13" ht="24" customHeight="1">
      <c r="A27" s="347"/>
      <c r="B27" s="347"/>
      <c r="C27" s="252"/>
      <c r="D27" s="257"/>
      <c r="E27" s="362"/>
      <c r="F27" s="315">
        <f>SUM(F19:F26)</f>
        <v>536239361.06</v>
      </c>
      <c r="G27" s="315">
        <f>SUM(G19:G26)</f>
        <v>282618075.15188825</v>
      </c>
      <c r="H27" s="315">
        <f>SUM(H19:H26)</f>
        <v>304200271.31869775</v>
      </c>
      <c r="I27" s="315">
        <f>SUM(I19:I26)</f>
        <v>233488673.8609525</v>
      </c>
      <c r="J27" s="315">
        <f>SUM(J19:J26)</f>
        <v>1356546381.3915384</v>
      </c>
      <c r="K27" s="6"/>
      <c r="L27" s="6"/>
      <c r="M27" s="6"/>
    </row>
    <row r="28" spans="1:13" ht="14.25">
      <c r="A28" s="527">
        <v>3</v>
      </c>
      <c r="B28" s="527">
        <v>3</v>
      </c>
      <c r="C28" s="530" t="s">
        <v>363</v>
      </c>
      <c r="D28" s="308" t="s">
        <v>245</v>
      </c>
      <c r="E28" s="364"/>
      <c r="F28" s="262"/>
      <c r="G28" s="309"/>
      <c r="H28" s="309"/>
      <c r="I28" s="309"/>
      <c r="J28" s="310"/>
      <c r="K28" s="6"/>
      <c r="L28" s="6"/>
      <c r="M28" s="6"/>
    </row>
    <row r="29" spans="1:13" ht="14.25">
      <c r="A29" s="528"/>
      <c r="B29" s="528"/>
      <c r="C29" s="531"/>
      <c r="D29" s="252" t="s">
        <v>246</v>
      </c>
      <c r="E29" s="360"/>
      <c r="F29" s="253"/>
      <c r="G29" s="304"/>
      <c r="H29" s="304"/>
      <c r="I29" s="304"/>
      <c r="J29" s="305"/>
      <c r="K29" s="6"/>
      <c r="L29" s="6"/>
      <c r="M29" s="6"/>
    </row>
    <row r="30" spans="1:13" ht="14.25">
      <c r="A30" s="528"/>
      <c r="B30" s="528"/>
      <c r="C30" s="531"/>
      <c r="D30" s="252" t="s">
        <v>372</v>
      </c>
      <c r="E30" s="360">
        <v>0.1</v>
      </c>
      <c r="F30" s="314">
        <f>F$102*$E30</f>
        <v>181086185.76</v>
      </c>
      <c r="G30" s="314">
        <f>G$102*$E30</f>
        <v>174489040.53408003</v>
      </c>
      <c r="H30" s="314">
        <f>H$102*$E30</f>
        <v>173165027.34905663</v>
      </c>
      <c r="I30" s="314">
        <f>I$102*$E30</f>
        <v>151669738.85904297</v>
      </c>
      <c r="J30" s="305">
        <f>SUM(F30:I30)</f>
        <v>680409992.5021796</v>
      </c>
      <c r="K30" s="6"/>
      <c r="L30" s="6"/>
      <c r="M30" s="6"/>
    </row>
    <row r="31" spans="1:13" ht="14.25">
      <c r="A31" s="528"/>
      <c r="B31" s="528"/>
      <c r="C31" s="531"/>
      <c r="D31" s="256" t="s">
        <v>247</v>
      </c>
      <c r="E31" s="361">
        <v>0.05</v>
      </c>
      <c r="F31" s="314">
        <f>F$103*$E31</f>
        <v>40560000</v>
      </c>
      <c r="G31" s="314">
        <f>G$103*$E31</f>
        <v>42912653.91780822</v>
      </c>
      <c r="H31" s="314">
        <f>H$103*$E31</f>
        <v>45132940.4850411</v>
      </c>
      <c r="I31" s="314">
        <f>I$103*$E31</f>
        <v>817255.44594674</v>
      </c>
      <c r="J31" s="305">
        <f aca="true" t="shared" si="2" ref="J31:J37">SUM(F31:I31)</f>
        <v>129422849.84879605</v>
      </c>
      <c r="K31" s="6"/>
      <c r="L31" s="6"/>
      <c r="M31" s="6"/>
    </row>
    <row r="32" spans="1:13" ht="14.25">
      <c r="A32" s="528"/>
      <c r="B32" s="528"/>
      <c r="C32" s="531"/>
      <c r="D32" s="257" t="s">
        <v>248</v>
      </c>
      <c r="E32" s="362">
        <v>0.1</v>
      </c>
      <c r="F32" s="314">
        <f>F$104*$E32</f>
        <v>33960000</v>
      </c>
      <c r="G32" s="314">
        <f>G$104*$E32</f>
        <v>28960000</v>
      </c>
      <c r="H32" s="314">
        <f>H$104*$E32</f>
        <v>28960000</v>
      </c>
      <c r="I32" s="314">
        <f>I$104*$E32</f>
        <v>34960000</v>
      </c>
      <c r="J32" s="305">
        <f t="shared" si="2"/>
        <v>126840000</v>
      </c>
      <c r="K32" s="6"/>
      <c r="L32" s="6"/>
      <c r="M32" s="6"/>
    </row>
    <row r="33" spans="1:13" ht="14.25">
      <c r="A33" s="528"/>
      <c r="B33" s="528"/>
      <c r="C33" s="531"/>
      <c r="D33" s="256" t="s">
        <v>249</v>
      </c>
      <c r="E33" s="361"/>
      <c r="F33" s="314"/>
      <c r="G33" s="304"/>
      <c r="H33" s="304"/>
      <c r="I33" s="304"/>
      <c r="J33" s="305">
        <f t="shared" si="2"/>
        <v>0</v>
      </c>
      <c r="K33" s="6"/>
      <c r="L33" s="6"/>
      <c r="M33" s="6"/>
    </row>
    <row r="34" spans="1:13" ht="14.25">
      <c r="A34" s="528"/>
      <c r="B34" s="528"/>
      <c r="C34" s="531"/>
      <c r="D34" s="257" t="s">
        <v>250</v>
      </c>
      <c r="E34" s="362">
        <v>0.05</v>
      </c>
      <c r="F34" s="314">
        <f>F$106*$E34</f>
        <v>6531675.300000001</v>
      </c>
      <c r="G34" s="314">
        <f>G$106*$E34</f>
        <v>2723332.7</v>
      </c>
      <c r="H34" s="314">
        <f>H$106*$E34</f>
        <v>22476935.996600002</v>
      </c>
      <c r="I34" s="314">
        <f>I$106*$E34</f>
        <v>10351546.4254428</v>
      </c>
      <c r="J34" s="305">
        <f t="shared" si="2"/>
        <v>42083490.4220428</v>
      </c>
      <c r="K34" s="6"/>
      <c r="L34" s="6"/>
      <c r="M34" s="6"/>
    </row>
    <row r="35" spans="1:13" ht="14.25">
      <c r="A35" s="528"/>
      <c r="B35" s="528"/>
      <c r="C35" s="531"/>
      <c r="D35" s="256" t="s">
        <v>251</v>
      </c>
      <c r="E35" s="361"/>
      <c r="F35" s="314"/>
      <c r="G35" s="304"/>
      <c r="H35" s="304"/>
      <c r="I35" s="304"/>
      <c r="J35" s="305">
        <f t="shared" si="2"/>
        <v>0</v>
      </c>
      <c r="K35" s="6"/>
      <c r="L35" s="6"/>
      <c r="M35" s="6"/>
    </row>
    <row r="36" spans="1:13" ht="14.25">
      <c r="A36" s="528"/>
      <c r="B36" s="528"/>
      <c r="C36" s="531"/>
      <c r="D36" s="256" t="s">
        <v>252</v>
      </c>
      <c r="E36" s="361"/>
      <c r="F36" s="314"/>
      <c r="G36" s="304"/>
      <c r="H36" s="304"/>
      <c r="I36" s="304"/>
      <c r="J36" s="305">
        <f t="shared" si="2"/>
        <v>0</v>
      </c>
      <c r="K36" s="6"/>
      <c r="L36" s="6"/>
      <c r="M36" s="6"/>
    </row>
    <row r="37" spans="1:13" ht="14.25">
      <c r="A37" s="529"/>
      <c r="B37" s="529"/>
      <c r="C37" s="532"/>
      <c r="D37" s="306" t="s">
        <v>253</v>
      </c>
      <c r="E37" s="363">
        <v>0.05</v>
      </c>
      <c r="F37" s="315">
        <f>F$109*$E37</f>
        <v>35696500</v>
      </c>
      <c r="G37" s="315">
        <f>G$109*$E37</f>
        <v>19053048</v>
      </c>
      <c r="H37" s="315">
        <f>H$109*$E37</f>
        <v>19985367.488</v>
      </c>
      <c r="I37" s="315">
        <f>I$109*$E37</f>
        <v>18210133.13052</v>
      </c>
      <c r="J37" s="307">
        <f t="shared" si="2"/>
        <v>92945048.61852</v>
      </c>
      <c r="K37" s="6"/>
      <c r="L37" s="6"/>
      <c r="M37" s="6"/>
    </row>
    <row r="38" spans="1:13" ht="24" customHeight="1">
      <c r="A38" s="347"/>
      <c r="B38" s="347"/>
      <c r="C38" s="252"/>
      <c r="D38" s="257"/>
      <c r="E38" s="362"/>
      <c r="F38" s="315">
        <f>SUM(F30:F37)</f>
        <v>297834361.06</v>
      </c>
      <c r="G38" s="315">
        <f>SUM(G30:G37)</f>
        <v>268138075.15188825</v>
      </c>
      <c r="H38" s="315">
        <f>SUM(H30:H37)</f>
        <v>289720271.31869775</v>
      </c>
      <c r="I38" s="315">
        <f>SUM(I30:I37)</f>
        <v>216008673.8609525</v>
      </c>
      <c r="J38" s="315">
        <f>SUM(J30:J37)</f>
        <v>1071701381.3915385</v>
      </c>
      <c r="K38" s="6"/>
      <c r="L38" s="6"/>
      <c r="M38" s="6"/>
    </row>
    <row r="39" spans="1:13" ht="14.25">
      <c r="A39" s="527">
        <v>4</v>
      </c>
      <c r="B39" s="527">
        <v>4</v>
      </c>
      <c r="C39" s="530" t="s">
        <v>364</v>
      </c>
      <c r="D39" s="308" t="s">
        <v>245</v>
      </c>
      <c r="E39" s="364"/>
      <c r="F39" s="262"/>
      <c r="G39" s="309"/>
      <c r="H39" s="309"/>
      <c r="I39" s="309"/>
      <c r="J39" s="310"/>
      <c r="K39" s="6"/>
      <c r="L39" s="6"/>
      <c r="M39" s="6"/>
    </row>
    <row r="40" spans="1:13" ht="14.25">
      <c r="A40" s="528"/>
      <c r="B40" s="528"/>
      <c r="C40" s="531"/>
      <c r="D40" s="252" t="s">
        <v>246</v>
      </c>
      <c r="E40" s="360"/>
      <c r="F40" s="253"/>
      <c r="G40" s="304"/>
      <c r="H40" s="304"/>
      <c r="I40" s="304"/>
      <c r="J40" s="305"/>
      <c r="K40" s="6"/>
      <c r="L40" s="6"/>
      <c r="M40" s="6"/>
    </row>
    <row r="41" spans="1:13" ht="14.25">
      <c r="A41" s="528"/>
      <c r="B41" s="528"/>
      <c r="C41" s="531"/>
      <c r="D41" s="252" t="s">
        <v>372</v>
      </c>
      <c r="E41" s="360">
        <v>0.05</v>
      </c>
      <c r="F41" s="314">
        <f>F$102*$E41</f>
        <v>90543092.88</v>
      </c>
      <c r="G41" s="314">
        <f>G$102*$E41</f>
        <v>87244520.26704001</v>
      </c>
      <c r="H41" s="314">
        <f>H$102*$E41</f>
        <v>86582513.67452832</v>
      </c>
      <c r="I41" s="314">
        <f>I$102*$E41</f>
        <v>75834869.42952149</v>
      </c>
      <c r="J41" s="305">
        <f>SUM(F41:I41)</f>
        <v>340204996.2510898</v>
      </c>
      <c r="K41" s="6"/>
      <c r="L41" s="6"/>
      <c r="M41" s="6"/>
    </row>
    <row r="42" spans="1:13" ht="14.25">
      <c r="A42" s="528"/>
      <c r="B42" s="528"/>
      <c r="C42" s="531"/>
      <c r="D42" s="256" t="s">
        <v>247</v>
      </c>
      <c r="E42" s="361">
        <v>0.15</v>
      </c>
      <c r="F42" s="314">
        <f>F$103*$E42</f>
        <v>121680000</v>
      </c>
      <c r="G42" s="314">
        <f>G$103*$E42</f>
        <v>128737961.75342464</v>
      </c>
      <c r="H42" s="314">
        <f>H$103*$E42</f>
        <v>135398821.45512328</v>
      </c>
      <c r="I42" s="314">
        <f>I$103*$E42</f>
        <v>2451766.3378402195</v>
      </c>
      <c r="J42" s="305">
        <f aca="true" t="shared" si="3" ref="J42:J48">SUM(F42:I42)</f>
        <v>388268549.54638815</v>
      </c>
      <c r="K42" s="6"/>
      <c r="L42" s="6"/>
      <c r="M42" s="6"/>
    </row>
    <row r="43" spans="1:13" ht="14.25">
      <c r="A43" s="528"/>
      <c r="B43" s="528"/>
      <c r="C43" s="531"/>
      <c r="D43" s="257" t="s">
        <v>248</v>
      </c>
      <c r="E43" s="362">
        <v>0.1</v>
      </c>
      <c r="F43" s="314">
        <f>F$104*$E43</f>
        <v>33960000</v>
      </c>
      <c r="G43" s="314">
        <f>G$104*$E43</f>
        <v>28960000</v>
      </c>
      <c r="H43" s="314">
        <f>H$104*$E43</f>
        <v>28960000</v>
      </c>
      <c r="I43" s="314">
        <f>I$104*$E43</f>
        <v>34960000</v>
      </c>
      <c r="J43" s="305">
        <f t="shared" si="3"/>
        <v>126840000</v>
      </c>
      <c r="K43" s="6"/>
      <c r="L43" s="6"/>
      <c r="M43" s="6"/>
    </row>
    <row r="44" spans="1:13" ht="14.25">
      <c r="A44" s="528"/>
      <c r="B44" s="528"/>
      <c r="C44" s="531"/>
      <c r="D44" s="256" t="s">
        <v>249</v>
      </c>
      <c r="E44" s="361"/>
      <c r="F44" s="314"/>
      <c r="G44" s="304"/>
      <c r="H44" s="304"/>
      <c r="I44" s="304"/>
      <c r="J44" s="305">
        <f t="shared" si="3"/>
        <v>0</v>
      </c>
      <c r="K44" s="6"/>
      <c r="L44" s="6"/>
      <c r="M44" s="6"/>
    </row>
    <row r="45" spans="1:13" ht="14.25">
      <c r="A45" s="528"/>
      <c r="B45" s="528"/>
      <c r="C45" s="531"/>
      <c r="D45" s="257" t="s">
        <v>250</v>
      </c>
      <c r="E45" s="362">
        <v>0.1</v>
      </c>
      <c r="F45" s="314">
        <f>F$106*$E45</f>
        <v>13063350.600000001</v>
      </c>
      <c r="G45" s="314">
        <f>G$106*$E45</f>
        <v>5446665.4</v>
      </c>
      <c r="H45" s="314">
        <f>H$106*$E45</f>
        <v>44953871.993200004</v>
      </c>
      <c r="I45" s="314">
        <f>I$106*$E45</f>
        <v>20703092.8508856</v>
      </c>
      <c r="J45" s="305">
        <f t="shared" si="3"/>
        <v>84166980.8440856</v>
      </c>
      <c r="K45" s="6"/>
      <c r="L45" s="6"/>
      <c r="M45" s="6"/>
    </row>
    <row r="46" spans="1:13" ht="14.25">
      <c r="A46" s="528"/>
      <c r="B46" s="528"/>
      <c r="C46" s="531"/>
      <c r="D46" s="256" t="s">
        <v>251</v>
      </c>
      <c r="E46" s="361"/>
      <c r="F46" s="314"/>
      <c r="G46" s="304"/>
      <c r="H46" s="304"/>
      <c r="I46" s="304"/>
      <c r="J46" s="305">
        <f t="shared" si="3"/>
        <v>0</v>
      </c>
      <c r="K46" s="6"/>
      <c r="L46" s="6"/>
      <c r="M46" s="6"/>
    </row>
    <row r="47" spans="1:13" ht="14.25">
      <c r="A47" s="528"/>
      <c r="B47" s="528"/>
      <c r="C47" s="531"/>
      <c r="D47" s="256" t="s">
        <v>252</v>
      </c>
      <c r="E47" s="361"/>
      <c r="F47" s="314"/>
      <c r="G47" s="304"/>
      <c r="H47" s="304"/>
      <c r="I47" s="304"/>
      <c r="J47" s="305">
        <f t="shared" si="3"/>
        <v>0</v>
      </c>
      <c r="K47" s="6"/>
      <c r="L47" s="6"/>
      <c r="M47" s="6"/>
    </row>
    <row r="48" spans="1:13" ht="14.25">
      <c r="A48" s="529"/>
      <c r="B48" s="529"/>
      <c r="C48" s="532"/>
      <c r="D48" s="306" t="s">
        <v>253</v>
      </c>
      <c r="E48" s="363">
        <v>0.05</v>
      </c>
      <c r="F48" s="315">
        <f>F$109*$E48</f>
        <v>35696500</v>
      </c>
      <c r="G48" s="315">
        <f>G$109*$E48</f>
        <v>19053048</v>
      </c>
      <c r="H48" s="315">
        <f>H$109*$E48</f>
        <v>19985367.488</v>
      </c>
      <c r="I48" s="315">
        <f>I$109*$E48</f>
        <v>18210133.13052</v>
      </c>
      <c r="J48" s="307">
        <f t="shared" si="3"/>
        <v>92945048.61852</v>
      </c>
      <c r="K48" s="6"/>
      <c r="L48" s="6"/>
      <c r="M48" s="6"/>
    </row>
    <row r="49" spans="1:13" ht="24" customHeight="1">
      <c r="A49" s="347"/>
      <c r="B49" s="347"/>
      <c r="C49" s="252"/>
      <c r="D49" s="257"/>
      <c r="E49" s="362"/>
      <c r="F49" s="315">
        <f>SUM(F41:F48)</f>
        <v>294942943.48</v>
      </c>
      <c r="G49" s="315">
        <f>SUM(G41:G48)</f>
        <v>269442195.42046463</v>
      </c>
      <c r="H49" s="315">
        <f>SUM(H41:H48)</f>
        <v>315880574.6108516</v>
      </c>
      <c r="I49" s="315">
        <f>SUM(I41:I48)</f>
        <v>152159861.74876732</v>
      </c>
      <c r="J49" s="315">
        <f>SUM(J41:J48)</f>
        <v>1032425575.2600836</v>
      </c>
      <c r="K49" s="6"/>
      <c r="L49" s="6"/>
      <c r="M49" s="6"/>
    </row>
    <row r="50" spans="1:13" ht="14.25">
      <c r="A50" s="527">
        <v>4</v>
      </c>
      <c r="B50" s="527">
        <v>5</v>
      </c>
      <c r="C50" s="530" t="s">
        <v>365</v>
      </c>
      <c r="D50" s="308" t="s">
        <v>245</v>
      </c>
      <c r="E50" s="364"/>
      <c r="F50" s="310"/>
      <c r="G50" s="309"/>
      <c r="H50" s="309"/>
      <c r="I50" s="309"/>
      <c r="J50" s="310"/>
      <c r="K50" s="6"/>
      <c r="L50" s="6"/>
      <c r="M50" s="6"/>
    </row>
    <row r="51" spans="1:13" ht="14.25">
      <c r="A51" s="528"/>
      <c r="B51" s="528"/>
      <c r="C51" s="531"/>
      <c r="D51" s="252" t="s">
        <v>246</v>
      </c>
      <c r="E51" s="360"/>
      <c r="F51" s="305"/>
      <c r="G51" s="304"/>
      <c r="H51" s="304"/>
      <c r="I51" s="304"/>
      <c r="J51" s="305"/>
      <c r="K51" s="6"/>
      <c r="L51" s="6"/>
      <c r="M51" s="6"/>
    </row>
    <row r="52" spans="1:13" ht="14.25">
      <c r="A52" s="528"/>
      <c r="B52" s="528"/>
      <c r="C52" s="531"/>
      <c r="D52" s="252" t="s">
        <v>372</v>
      </c>
      <c r="E52" s="360">
        <v>0.4</v>
      </c>
      <c r="F52" s="314">
        <f>F$102*$E52</f>
        <v>724344743.04</v>
      </c>
      <c r="G52" s="314">
        <f>G$102*$E52</f>
        <v>697956162.1363201</v>
      </c>
      <c r="H52" s="314">
        <f>H$102*$E52</f>
        <v>692660109.3962265</v>
      </c>
      <c r="I52" s="314">
        <f>I$102*$E52</f>
        <v>606678955.4361719</v>
      </c>
      <c r="J52" s="305">
        <f>SUM(F52:I52)</f>
        <v>2721639970.0087185</v>
      </c>
      <c r="K52" s="6"/>
      <c r="L52" s="6"/>
      <c r="M52" s="6"/>
    </row>
    <row r="53" spans="1:13" ht="14.25">
      <c r="A53" s="528"/>
      <c r="B53" s="528"/>
      <c r="C53" s="531"/>
      <c r="D53" s="256" t="s">
        <v>247</v>
      </c>
      <c r="E53" s="361">
        <v>0.2</v>
      </c>
      <c r="F53" s="314">
        <f>F$103*$E53</f>
        <v>162240000</v>
      </c>
      <c r="G53" s="314">
        <f>G$103*$E53</f>
        <v>171650615.67123288</v>
      </c>
      <c r="H53" s="314">
        <f>H$103*$E53</f>
        <v>180531761.9401644</v>
      </c>
      <c r="I53" s="314">
        <f>I$103*$E53</f>
        <v>3269021.78378696</v>
      </c>
      <c r="J53" s="305">
        <f aca="true" t="shared" si="4" ref="J53:J59">SUM(F53:I53)</f>
        <v>517691399.3951842</v>
      </c>
      <c r="K53" s="6"/>
      <c r="L53" s="6"/>
      <c r="M53" s="6"/>
    </row>
    <row r="54" spans="1:13" ht="14.25">
      <c r="A54" s="528"/>
      <c r="B54" s="528"/>
      <c r="C54" s="531"/>
      <c r="D54" s="257" t="s">
        <v>248</v>
      </c>
      <c r="E54" s="362">
        <v>0.4</v>
      </c>
      <c r="F54" s="314">
        <f>F$104*$E54</f>
        <v>135840000</v>
      </c>
      <c r="G54" s="314">
        <f>G$104*$E54</f>
        <v>115840000</v>
      </c>
      <c r="H54" s="314">
        <f>H$104*$E54</f>
        <v>115840000</v>
      </c>
      <c r="I54" s="314">
        <f>I$104*$E54</f>
        <v>139840000</v>
      </c>
      <c r="J54" s="305">
        <f t="shared" si="4"/>
        <v>507360000</v>
      </c>
      <c r="K54" s="6"/>
      <c r="L54" s="6"/>
      <c r="M54" s="6"/>
    </row>
    <row r="55" spans="1:13" ht="14.25">
      <c r="A55" s="528"/>
      <c r="B55" s="528"/>
      <c r="C55" s="531"/>
      <c r="D55" s="256" t="s">
        <v>249</v>
      </c>
      <c r="E55" s="361"/>
      <c r="F55" s="305"/>
      <c r="G55" s="304"/>
      <c r="H55" s="304"/>
      <c r="I55" s="304"/>
      <c r="J55" s="305">
        <f t="shared" si="4"/>
        <v>0</v>
      </c>
      <c r="K55" s="6"/>
      <c r="L55" s="6"/>
      <c r="M55" s="6"/>
    </row>
    <row r="56" spans="1:13" ht="14.25">
      <c r="A56" s="528"/>
      <c r="B56" s="528"/>
      <c r="C56" s="531"/>
      <c r="D56" s="257" t="s">
        <v>250</v>
      </c>
      <c r="E56" s="362">
        <v>0.6</v>
      </c>
      <c r="F56" s="314">
        <f>F$106*$E56</f>
        <v>78380103.6</v>
      </c>
      <c r="G56" s="314">
        <f>G$106*$E56</f>
        <v>32679992.4</v>
      </c>
      <c r="H56" s="314">
        <f>H$106*$E56</f>
        <v>269723231.95919997</v>
      </c>
      <c r="I56" s="314">
        <f>I$106*$E56</f>
        <v>124218557.1053136</v>
      </c>
      <c r="J56" s="305">
        <f t="shared" si="4"/>
        <v>505001885.06451356</v>
      </c>
      <c r="K56" s="6"/>
      <c r="L56" s="6"/>
      <c r="M56" s="6"/>
    </row>
    <row r="57" spans="1:13" ht="14.25">
      <c r="A57" s="528"/>
      <c r="B57" s="528"/>
      <c r="C57" s="531"/>
      <c r="D57" s="256" t="s">
        <v>251</v>
      </c>
      <c r="E57" s="361"/>
      <c r="F57" s="305"/>
      <c r="G57" s="304"/>
      <c r="H57" s="304"/>
      <c r="I57" s="304"/>
      <c r="J57" s="305">
        <f t="shared" si="4"/>
        <v>0</v>
      </c>
      <c r="K57" s="6"/>
      <c r="L57" s="6"/>
      <c r="M57" s="6"/>
    </row>
    <row r="58" spans="1:13" ht="14.25">
      <c r="A58" s="528"/>
      <c r="B58" s="528"/>
      <c r="C58" s="531"/>
      <c r="D58" s="256" t="s">
        <v>252</v>
      </c>
      <c r="E58" s="361">
        <v>0.5</v>
      </c>
      <c r="F58" s="314">
        <f>F$108*$E58</f>
        <v>221425000</v>
      </c>
      <c r="G58" s="314">
        <f>G$108*$E58</f>
        <v>0</v>
      </c>
      <c r="H58" s="314">
        <f>H$108*$E58</f>
        <v>0</v>
      </c>
      <c r="I58" s="314">
        <f>I$108*$E58</f>
        <v>0</v>
      </c>
      <c r="J58" s="305">
        <f t="shared" si="4"/>
        <v>221425000</v>
      </c>
      <c r="K58" s="6"/>
      <c r="L58" s="6"/>
      <c r="M58" s="6"/>
    </row>
    <row r="59" spans="1:13" ht="14.25">
      <c r="A59" s="529"/>
      <c r="B59" s="529"/>
      <c r="C59" s="532"/>
      <c r="D59" s="306" t="s">
        <v>253</v>
      </c>
      <c r="E59" s="363">
        <v>0.6</v>
      </c>
      <c r="F59" s="315">
        <f>F$109*$E59</f>
        <v>428358000</v>
      </c>
      <c r="G59" s="315">
        <f>G$109*$E59</f>
        <v>228636576</v>
      </c>
      <c r="H59" s="315">
        <f>H$109*$E59</f>
        <v>239824409.85599998</v>
      </c>
      <c r="I59" s="315">
        <f>I$109*$E59</f>
        <v>218521597.56624</v>
      </c>
      <c r="J59" s="307">
        <f t="shared" si="4"/>
        <v>1115340583.42224</v>
      </c>
      <c r="K59" s="6"/>
      <c r="L59" s="6"/>
      <c r="M59" s="6"/>
    </row>
    <row r="60" spans="1:13" ht="24" customHeight="1">
      <c r="A60" s="347"/>
      <c r="B60" s="347"/>
      <c r="C60" s="252"/>
      <c r="D60" s="257"/>
      <c r="E60" s="362"/>
      <c r="F60" s="315">
        <f>SUM(F52:F59)</f>
        <v>1750587846.6399999</v>
      </c>
      <c r="G60" s="315">
        <f>SUM(G52:G59)</f>
        <v>1246763346.207553</v>
      </c>
      <c r="H60" s="315">
        <f>SUM(H52:H59)</f>
        <v>1498579513.1515908</v>
      </c>
      <c r="I60" s="315">
        <f>SUM(I52:I59)</f>
        <v>1092528131.8915126</v>
      </c>
      <c r="J60" s="315">
        <f>SUM(J52:J59)</f>
        <v>5588458837.890656</v>
      </c>
      <c r="K60" s="6"/>
      <c r="L60" s="6"/>
      <c r="M60" s="6"/>
    </row>
    <row r="61" spans="1:13" ht="14.25">
      <c r="A61" s="527">
        <v>5</v>
      </c>
      <c r="B61" s="527">
        <v>6</v>
      </c>
      <c r="C61" s="530" t="s">
        <v>366</v>
      </c>
      <c r="D61" s="308" t="s">
        <v>245</v>
      </c>
      <c r="E61" s="364"/>
      <c r="F61" s="310"/>
      <c r="G61" s="309"/>
      <c r="H61" s="309"/>
      <c r="I61" s="309"/>
      <c r="J61" s="310"/>
      <c r="K61" s="6"/>
      <c r="L61" s="6"/>
      <c r="M61" s="6"/>
    </row>
    <row r="62" spans="1:13" ht="14.25">
      <c r="A62" s="528"/>
      <c r="B62" s="528"/>
      <c r="C62" s="531"/>
      <c r="D62" s="252" t="s">
        <v>246</v>
      </c>
      <c r="E62" s="360"/>
      <c r="F62" s="305"/>
      <c r="G62" s="304"/>
      <c r="H62" s="304"/>
      <c r="I62" s="304"/>
      <c r="J62" s="305"/>
      <c r="K62" s="6"/>
      <c r="L62" s="6"/>
      <c r="M62" s="6"/>
    </row>
    <row r="63" spans="1:13" ht="14.25">
      <c r="A63" s="528"/>
      <c r="B63" s="528"/>
      <c r="C63" s="531"/>
      <c r="D63" s="252" t="s">
        <v>372</v>
      </c>
      <c r="E63" s="360">
        <v>0.1</v>
      </c>
      <c r="F63" s="314">
        <f>F$102*$E63</f>
        <v>181086185.76</v>
      </c>
      <c r="G63" s="314">
        <f>G$102*$E63</f>
        <v>174489040.53408003</v>
      </c>
      <c r="H63" s="314">
        <f>H$102*$E63</f>
        <v>173165027.34905663</v>
      </c>
      <c r="I63" s="314">
        <f>I$102*$E63</f>
        <v>151669738.85904297</v>
      </c>
      <c r="J63" s="305">
        <f>SUM(F63:I63)</f>
        <v>680409992.5021796</v>
      </c>
      <c r="K63" s="6"/>
      <c r="L63" s="6"/>
      <c r="M63" s="6"/>
    </row>
    <row r="64" spans="1:13" ht="14.25">
      <c r="A64" s="528"/>
      <c r="B64" s="528"/>
      <c r="C64" s="531"/>
      <c r="D64" s="256" t="s">
        <v>247</v>
      </c>
      <c r="E64" s="361">
        <v>0.15</v>
      </c>
      <c r="F64" s="314">
        <f>F$103*$E64</f>
        <v>121680000</v>
      </c>
      <c r="G64" s="314">
        <f>G$103*$E64</f>
        <v>128737961.75342464</v>
      </c>
      <c r="H64" s="314">
        <f>H$103*$E64</f>
        <v>135398821.45512328</v>
      </c>
      <c r="I64" s="314">
        <f>I$103*$E64</f>
        <v>2451766.3378402195</v>
      </c>
      <c r="J64" s="305">
        <f aca="true" t="shared" si="5" ref="J64:J70">SUM(F64:I64)</f>
        <v>388268549.54638815</v>
      </c>
      <c r="K64" s="6"/>
      <c r="L64" s="6"/>
      <c r="M64" s="6"/>
    </row>
    <row r="65" spans="1:13" ht="14.25">
      <c r="A65" s="528"/>
      <c r="B65" s="528"/>
      <c r="C65" s="531"/>
      <c r="D65" s="257" t="s">
        <v>248</v>
      </c>
      <c r="E65" s="362">
        <v>0.05</v>
      </c>
      <c r="F65" s="314">
        <f>F$104*$E65</f>
        <v>16980000</v>
      </c>
      <c r="G65" s="314">
        <f>G$104*$E65</f>
        <v>14480000</v>
      </c>
      <c r="H65" s="314">
        <f>H$104*$E65</f>
        <v>14480000</v>
      </c>
      <c r="I65" s="314">
        <f>I$104*$E65</f>
        <v>17480000</v>
      </c>
      <c r="J65" s="305">
        <f t="shared" si="5"/>
        <v>63420000</v>
      </c>
      <c r="K65" s="6"/>
      <c r="L65" s="6"/>
      <c r="M65" s="6"/>
    </row>
    <row r="66" spans="1:13" ht="14.25">
      <c r="A66" s="528"/>
      <c r="B66" s="528"/>
      <c r="C66" s="531"/>
      <c r="D66" s="256" t="s">
        <v>249</v>
      </c>
      <c r="E66" s="361"/>
      <c r="F66" s="305"/>
      <c r="G66" s="304"/>
      <c r="H66" s="304"/>
      <c r="I66" s="304"/>
      <c r="J66" s="305">
        <f t="shared" si="5"/>
        <v>0</v>
      </c>
      <c r="K66" s="6"/>
      <c r="L66" s="6"/>
      <c r="M66" s="6"/>
    </row>
    <row r="67" spans="1:13" ht="14.25">
      <c r="A67" s="528"/>
      <c r="B67" s="528"/>
      <c r="C67" s="531"/>
      <c r="D67" s="257" t="s">
        <v>250</v>
      </c>
      <c r="E67" s="362">
        <v>0.05</v>
      </c>
      <c r="F67" s="314">
        <f>F$106*$E67</f>
        <v>6531675.300000001</v>
      </c>
      <c r="G67" s="314">
        <f>G$106*$E67</f>
        <v>2723332.7</v>
      </c>
      <c r="H67" s="314">
        <f>H$106*$E67</f>
        <v>22476935.996600002</v>
      </c>
      <c r="I67" s="314">
        <f>I$106*$E67</f>
        <v>10351546.4254428</v>
      </c>
      <c r="J67" s="305">
        <f t="shared" si="5"/>
        <v>42083490.4220428</v>
      </c>
      <c r="K67" s="6"/>
      <c r="L67" s="6"/>
      <c r="M67" s="6"/>
    </row>
    <row r="68" spans="1:13" ht="14.25">
      <c r="A68" s="528"/>
      <c r="B68" s="528"/>
      <c r="C68" s="531"/>
      <c r="D68" s="256" t="s">
        <v>251</v>
      </c>
      <c r="E68" s="361"/>
      <c r="F68" s="305"/>
      <c r="G68" s="304"/>
      <c r="H68" s="304"/>
      <c r="I68" s="304"/>
      <c r="J68" s="305">
        <f t="shared" si="5"/>
        <v>0</v>
      </c>
      <c r="K68" s="6"/>
      <c r="L68" s="6"/>
      <c r="M68" s="6"/>
    </row>
    <row r="69" spans="1:13" ht="14.25">
      <c r="A69" s="528"/>
      <c r="B69" s="528"/>
      <c r="C69" s="531"/>
      <c r="D69" s="256" t="s">
        <v>252</v>
      </c>
      <c r="E69" s="361"/>
      <c r="F69" s="305"/>
      <c r="G69" s="304"/>
      <c r="H69" s="304"/>
      <c r="I69" s="304"/>
      <c r="J69" s="305">
        <f t="shared" si="5"/>
        <v>0</v>
      </c>
      <c r="K69" s="6"/>
      <c r="L69" s="6"/>
      <c r="M69" s="6"/>
    </row>
    <row r="70" spans="1:13" ht="14.25">
      <c r="A70" s="529"/>
      <c r="B70" s="529"/>
      <c r="C70" s="532"/>
      <c r="D70" s="306" t="s">
        <v>253</v>
      </c>
      <c r="E70" s="363">
        <v>0.1</v>
      </c>
      <c r="F70" s="315">
        <f>F$109*$E70</f>
        <v>71393000</v>
      </c>
      <c r="G70" s="315">
        <f>G$109*$E70</f>
        <v>38106096</v>
      </c>
      <c r="H70" s="315">
        <f>H$109*$E70</f>
        <v>39970734.976</v>
      </c>
      <c r="I70" s="315">
        <f>I$109*$E70</f>
        <v>36420266.26104</v>
      </c>
      <c r="J70" s="307">
        <f t="shared" si="5"/>
        <v>185890097.23704</v>
      </c>
      <c r="K70" s="6"/>
      <c r="L70" s="6"/>
      <c r="M70" s="6"/>
    </row>
    <row r="71" spans="1:13" ht="24" customHeight="1">
      <c r="A71" s="347"/>
      <c r="B71" s="347"/>
      <c r="C71" s="252"/>
      <c r="D71" s="257"/>
      <c r="E71" s="362"/>
      <c r="F71" s="315">
        <f>SUM(F63:F70)</f>
        <v>397670861.06</v>
      </c>
      <c r="G71" s="315">
        <f>SUM(G63:G70)</f>
        <v>358536430.98750466</v>
      </c>
      <c r="H71" s="315">
        <f>SUM(H63:H70)</f>
        <v>385491519.77677995</v>
      </c>
      <c r="I71" s="315">
        <f>SUM(I63:I70)</f>
        <v>218373317.88336602</v>
      </c>
      <c r="J71" s="315">
        <f>SUM(J63:J70)</f>
        <v>1360072129.7076507</v>
      </c>
      <c r="K71" s="6"/>
      <c r="L71" s="6"/>
      <c r="M71" s="6"/>
    </row>
    <row r="72" spans="1:13" ht="14.25">
      <c r="A72" s="527">
        <v>5</v>
      </c>
      <c r="B72" s="527">
        <v>7</v>
      </c>
      <c r="C72" s="530" t="s">
        <v>367</v>
      </c>
      <c r="D72" s="308" t="s">
        <v>245</v>
      </c>
      <c r="E72" s="364"/>
      <c r="F72" s="310"/>
      <c r="G72" s="309"/>
      <c r="H72" s="309"/>
      <c r="I72" s="309"/>
      <c r="J72" s="310"/>
      <c r="K72" s="6"/>
      <c r="L72" s="6"/>
      <c r="M72" s="6"/>
    </row>
    <row r="73" spans="1:13" ht="14.25">
      <c r="A73" s="528"/>
      <c r="B73" s="528"/>
      <c r="C73" s="531"/>
      <c r="D73" s="252" t="s">
        <v>246</v>
      </c>
      <c r="E73" s="360"/>
      <c r="F73" s="305"/>
      <c r="G73" s="304"/>
      <c r="H73" s="304"/>
      <c r="I73" s="304"/>
      <c r="J73" s="305"/>
      <c r="K73" s="6"/>
      <c r="L73" s="6"/>
      <c r="M73" s="6"/>
    </row>
    <row r="74" spans="1:13" ht="14.25">
      <c r="A74" s="528"/>
      <c r="B74" s="528"/>
      <c r="C74" s="531"/>
      <c r="D74" s="252" t="s">
        <v>372</v>
      </c>
      <c r="E74" s="360">
        <v>0.1</v>
      </c>
      <c r="F74" s="314">
        <f>F$102*$E74</f>
        <v>181086185.76</v>
      </c>
      <c r="G74" s="314">
        <f>G$102*$E74</f>
        <v>174489040.53408003</v>
      </c>
      <c r="H74" s="314">
        <f>H$102*$E74</f>
        <v>173165027.34905663</v>
      </c>
      <c r="I74" s="314">
        <f>I$102*$E74</f>
        <v>151669738.85904297</v>
      </c>
      <c r="J74" s="305">
        <f>SUM(F74:I74)</f>
        <v>680409992.5021796</v>
      </c>
      <c r="K74" s="6"/>
      <c r="L74" s="6"/>
      <c r="M74" s="6"/>
    </row>
    <row r="75" spans="1:13" ht="14.25">
      <c r="A75" s="528"/>
      <c r="B75" s="528"/>
      <c r="C75" s="531"/>
      <c r="D75" s="256" t="s">
        <v>247</v>
      </c>
      <c r="E75" s="361">
        <v>0.1</v>
      </c>
      <c r="F75" s="314">
        <f>F$103*$E75</f>
        <v>81120000</v>
      </c>
      <c r="G75" s="314">
        <f>G$103*$E75</f>
        <v>85825307.83561644</v>
      </c>
      <c r="H75" s="314">
        <f>H$103*$E75</f>
        <v>90265880.9700822</v>
      </c>
      <c r="I75" s="314">
        <f>I$103*$E75</f>
        <v>1634510.89189348</v>
      </c>
      <c r="J75" s="305">
        <f aca="true" t="shared" si="6" ref="J75:J81">SUM(F75:I75)</f>
        <v>258845699.6975921</v>
      </c>
      <c r="K75" s="6"/>
      <c r="L75" s="6"/>
      <c r="M75" s="6"/>
    </row>
    <row r="76" spans="1:13" ht="14.25">
      <c r="A76" s="528"/>
      <c r="B76" s="528"/>
      <c r="C76" s="531"/>
      <c r="D76" s="257" t="s">
        <v>248</v>
      </c>
      <c r="E76" s="362">
        <v>0.05</v>
      </c>
      <c r="F76" s="314">
        <f>F$104*$E76</f>
        <v>16980000</v>
      </c>
      <c r="G76" s="314">
        <f>G$104*$E76</f>
        <v>14480000</v>
      </c>
      <c r="H76" s="314">
        <f>H$104*$E76</f>
        <v>14480000</v>
      </c>
      <c r="I76" s="314">
        <f>I$104*$E76</f>
        <v>17480000</v>
      </c>
      <c r="J76" s="305">
        <f t="shared" si="6"/>
        <v>63420000</v>
      </c>
      <c r="K76" s="6"/>
      <c r="L76" s="6"/>
      <c r="M76" s="6"/>
    </row>
    <row r="77" spans="1:13" ht="14.25">
      <c r="A77" s="528"/>
      <c r="B77" s="528"/>
      <c r="C77" s="531"/>
      <c r="D77" s="256" t="s">
        <v>249</v>
      </c>
      <c r="E77" s="361"/>
      <c r="F77" s="305"/>
      <c r="G77" s="304"/>
      <c r="H77" s="304"/>
      <c r="I77" s="304"/>
      <c r="J77" s="305">
        <f t="shared" si="6"/>
        <v>0</v>
      </c>
      <c r="K77" s="6"/>
      <c r="L77" s="6"/>
      <c r="M77" s="6"/>
    </row>
    <row r="78" spans="1:13" ht="14.25">
      <c r="A78" s="528"/>
      <c r="B78" s="528"/>
      <c r="C78" s="531"/>
      <c r="D78" s="257" t="s">
        <v>250</v>
      </c>
      <c r="E78" s="362">
        <v>0.05</v>
      </c>
      <c r="F78" s="314">
        <f>F$106*$E78</f>
        <v>6531675.300000001</v>
      </c>
      <c r="G78" s="314">
        <f>G$106*$E78</f>
        <v>2723332.7</v>
      </c>
      <c r="H78" s="314">
        <f>H$106*$E78</f>
        <v>22476935.996600002</v>
      </c>
      <c r="I78" s="314">
        <f>I$106*$E78</f>
        <v>10351546.4254428</v>
      </c>
      <c r="J78" s="305">
        <f t="shared" si="6"/>
        <v>42083490.4220428</v>
      </c>
      <c r="K78" s="6"/>
      <c r="L78" s="6"/>
      <c r="M78" s="6"/>
    </row>
    <row r="79" spans="1:13" ht="14.25">
      <c r="A79" s="528"/>
      <c r="B79" s="528"/>
      <c r="C79" s="531"/>
      <c r="D79" s="256" t="s">
        <v>251</v>
      </c>
      <c r="E79" s="361"/>
      <c r="F79" s="305"/>
      <c r="G79" s="304"/>
      <c r="H79" s="304"/>
      <c r="I79" s="304"/>
      <c r="J79" s="305">
        <f t="shared" si="6"/>
        <v>0</v>
      </c>
      <c r="K79" s="6"/>
      <c r="L79" s="6"/>
      <c r="M79" s="6"/>
    </row>
    <row r="80" spans="1:13" ht="14.25">
      <c r="A80" s="528"/>
      <c r="B80" s="528"/>
      <c r="C80" s="531"/>
      <c r="D80" s="256" t="s">
        <v>252</v>
      </c>
      <c r="E80" s="361"/>
      <c r="F80" s="305"/>
      <c r="G80" s="304"/>
      <c r="H80" s="304"/>
      <c r="I80" s="304"/>
      <c r="J80" s="305"/>
      <c r="K80" s="6"/>
      <c r="L80" s="6"/>
      <c r="M80" s="6"/>
    </row>
    <row r="81" spans="1:13" ht="14.25">
      <c r="A81" s="529"/>
      <c r="B81" s="529"/>
      <c r="C81" s="532"/>
      <c r="D81" s="306" t="s">
        <v>253</v>
      </c>
      <c r="E81" s="363">
        <v>0.05</v>
      </c>
      <c r="F81" s="315">
        <f>F$109*$E81</f>
        <v>35696500</v>
      </c>
      <c r="G81" s="315">
        <f>G$109*$E81</f>
        <v>19053048</v>
      </c>
      <c r="H81" s="315">
        <f>H$109*$E81</f>
        <v>19985367.488</v>
      </c>
      <c r="I81" s="315">
        <f>I$109*$E81</f>
        <v>18210133.13052</v>
      </c>
      <c r="J81" s="307">
        <f t="shared" si="6"/>
        <v>92945048.61852</v>
      </c>
      <c r="K81" s="6"/>
      <c r="L81" s="6"/>
      <c r="M81" s="6"/>
    </row>
    <row r="82" spans="1:13" ht="24" customHeight="1">
      <c r="A82" s="347"/>
      <c r="B82" s="347"/>
      <c r="C82" s="252"/>
      <c r="D82" s="257"/>
      <c r="E82" s="362"/>
      <c r="F82" s="315">
        <f>SUM(F74:F81)</f>
        <v>321414361.06</v>
      </c>
      <c r="G82" s="315">
        <f>SUM(G74:G81)</f>
        <v>296570729.0696965</v>
      </c>
      <c r="H82" s="315">
        <f>SUM(H74:H81)</f>
        <v>320373211.8037388</v>
      </c>
      <c r="I82" s="315">
        <f>SUM(I74:I81)</f>
        <v>199345929.30689925</v>
      </c>
      <c r="J82" s="315">
        <f>SUM(J74:J81)</f>
        <v>1137704231.2403345</v>
      </c>
      <c r="K82" s="6"/>
      <c r="L82" s="6"/>
      <c r="M82" s="6"/>
    </row>
    <row r="83" spans="1:13" ht="14.25">
      <c r="A83" s="527">
        <v>6</v>
      </c>
      <c r="B83" s="527">
        <v>8</v>
      </c>
      <c r="C83" s="530" t="s">
        <v>368</v>
      </c>
      <c r="D83" s="308" t="s">
        <v>245</v>
      </c>
      <c r="E83" s="364"/>
      <c r="F83" s="310"/>
      <c r="G83" s="309"/>
      <c r="H83" s="309"/>
      <c r="I83" s="309"/>
      <c r="J83" s="310"/>
      <c r="K83" s="6"/>
      <c r="L83" s="6"/>
      <c r="M83" s="6"/>
    </row>
    <row r="84" spans="1:13" ht="14.25">
      <c r="A84" s="528"/>
      <c r="B84" s="528"/>
      <c r="C84" s="531"/>
      <c r="D84" s="252" t="s">
        <v>246</v>
      </c>
      <c r="E84" s="360"/>
      <c r="F84" s="305"/>
      <c r="G84" s="304"/>
      <c r="H84" s="304"/>
      <c r="I84" s="304"/>
      <c r="J84" s="305"/>
      <c r="K84" s="6"/>
      <c r="L84" s="6"/>
      <c r="M84" s="6"/>
    </row>
    <row r="85" spans="1:13" ht="14.25">
      <c r="A85" s="528"/>
      <c r="B85" s="528"/>
      <c r="C85" s="531"/>
      <c r="D85" s="252" t="s">
        <v>372</v>
      </c>
      <c r="E85" s="360">
        <v>0.1</v>
      </c>
      <c r="F85" s="314">
        <f>F$102*$E85</f>
        <v>181086185.76</v>
      </c>
      <c r="G85" s="314">
        <f>G$102*$E85</f>
        <v>174489040.53408003</v>
      </c>
      <c r="H85" s="314">
        <f>H$102*$E85</f>
        <v>173165027.34905663</v>
      </c>
      <c r="I85" s="314">
        <f>I$102*$E85</f>
        <v>151669738.85904297</v>
      </c>
      <c r="J85" s="305">
        <f>SUM(F85:I85)</f>
        <v>680409992.5021796</v>
      </c>
      <c r="K85" s="6"/>
      <c r="L85" s="6"/>
      <c r="M85" s="6"/>
    </row>
    <row r="86" spans="1:13" ht="14.25">
      <c r="A86" s="528"/>
      <c r="B86" s="528"/>
      <c r="C86" s="531"/>
      <c r="D86" s="256" t="s">
        <v>247</v>
      </c>
      <c r="E86" s="361">
        <v>0.2</v>
      </c>
      <c r="F86" s="314">
        <f>F$103*$E86</f>
        <v>162240000</v>
      </c>
      <c r="G86" s="314">
        <f>G$103*$E86</f>
        <v>171650615.67123288</v>
      </c>
      <c r="H86" s="314">
        <f>H$103*$E86</f>
        <v>180531761.9401644</v>
      </c>
      <c r="I86" s="314">
        <f>I$103*$E86</f>
        <v>3269021.78378696</v>
      </c>
      <c r="J86" s="305">
        <f aca="true" t="shared" si="7" ref="J86:J92">SUM(F86:I86)</f>
        <v>517691399.3951842</v>
      </c>
      <c r="K86" s="6"/>
      <c r="L86" s="6"/>
      <c r="M86" s="6"/>
    </row>
    <row r="87" spans="1:13" ht="14.25">
      <c r="A87" s="528"/>
      <c r="B87" s="528"/>
      <c r="C87" s="531"/>
      <c r="D87" s="257" t="s">
        <v>248</v>
      </c>
      <c r="E87" s="362">
        <v>0.1</v>
      </c>
      <c r="F87" s="314">
        <f>F$104*$E87</f>
        <v>33960000</v>
      </c>
      <c r="G87" s="314">
        <f>G$104*$E87</f>
        <v>28960000</v>
      </c>
      <c r="H87" s="314">
        <f>H$104*$E87</f>
        <v>28960000</v>
      </c>
      <c r="I87" s="314">
        <f>I$104*$E87</f>
        <v>34960000</v>
      </c>
      <c r="J87" s="305">
        <f t="shared" si="7"/>
        <v>126840000</v>
      </c>
      <c r="K87" s="6"/>
      <c r="L87" s="6"/>
      <c r="M87" s="6"/>
    </row>
    <row r="88" spans="1:13" ht="14.25">
      <c r="A88" s="528"/>
      <c r="B88" s="528"/>
      <c r="C88" s="531"/>
      <c r="D88" s="256" t="s">
        <v>249</v>
      </c>
      <c r="E88" s="361"/>
      <c r="F88" s="305"/>
      <c r="G88" s="304"/>
      <c r="H88" s="304"/>
      <c r="I88" s="304"/>
      <c r="J88" s="305">
        <f t="shared" si="7"/>
        <v>0</v>
      </c>
      <c r="K88" s="6"/>
      <c r="L88" s="6"/>
      <c r="M88" s="6"/>
    </row>
    <row r="89" spans="1:13" ht="14.25">
      <c r="A89" s="528"/>
      <c r="B89" s="528"/>
      <c r="C89" s="531"/>
      <c r="D89" s="257" t="s">
        <v>250</v>
      </c>
      <c r="E89" s="362">
        <v>0.05</v>
      </c>
      <c r="F89" s="314">
        <f>F$106*$E89</f>
        <v>6531675.300000001</v>
      </c>
      <c r="G89" s="314">
        <f>G$106*$E89</f>
        <v>2723332.7</v>
      </c>
      <c r="H89" s="314">
        <f>H$106*$E89</f>
        <v>22476935.996600002</v>
      </c>
      <c r="I89" s="314">
        <f>I$106*$E89</f>
        <v>10351546.4254428</v>
      </c>
      <c r="J89" s="305">
        <f t="shared" si="7"/>
        <v>42083490.4220428</v>
      </c>
      <c r="K89" s="6"/>
      <c r="L89" s="6"/>
      <c r="M89" s="6"/>
    </row>
    <row r="90" spans="1:13" ht="14.25">
      <c r="A90" s="528"/>
      <c r="B90" s="528"/>
      <c r="C90" s="531"/>
      <c r="D90" s="256" t="s">
        <v>251</v>
      </c>
      <c r="E90" s="361"/>
      <c r="F90" s="305"/>
      <c r="G90" s="304"/>
      <c r="H90" s="304"/>
      <c r="I90" s="304"/>
      <c r="J90" s="305">
        <f t="shared" si="7"/>
        <v>0</v>
      </c>
      <c r="K90" s="6"/>
      <c r="L90" s="6"/>
      <c r="M90" s="6"/>
    </row>
    <row r="91" spans="1:13" ht="14.25">
      <c r="A91" s="528"/>
      <c r="B91" s="528"/>
      <c r="C91" s="531"/>
      <c r="D91" s="256" t="s">
        <v>252</v>
      </c>
      <c r="E91" s="361"/>
      <c r="F91" s="305"/>
      <c r="G91" s="304">
        <f>$F91*G$5</f>
        <v>0</v>
      </c>
      <c r="H91" s="304">
        <f>$F91*H$5</f>
        <v>0</v>
      </c>
      <c r="I91" s="304"/>
      <c r="J91" s="305">
        <f t="shared" si="7"/>
        <v>0</v>
      </c>
      <c r="K91" s="6"/>
      <c r="L91" s="6"/>
      <c r="M91" s="6"/>
    </row>
    <row r="92" spans="1:13" ht="14.25">
      <c r="A92" s="529"/>
      <c r="B92" s="529"/>
      <c r="C92" s="532"/>
      <c r="D92" s="306" t="s">
        <v>253</v>
      </c>
      <c r="E92" s="363">
        <v>0.05</v>
      </c>
      <c r="F92" s="315">
        <f>F$109*$E92</f>
        <v>35696500</v>
      </c>
      <c r="G92" s="315">
        <f>G$109*$E92</f>
        <v>19053048</v>
      </c>
      <c r="H92" s="315">
        <f>H$109*$E92</f>
        <v>19985367.488</v>
      </c>
      <c r="I92" s="315">
        <f>I$109*$E92</f>
        <v>18210133.13052</v>
      </c>
      <c r="J92" s="307">
        <f t="shared" si="7"/>
        <v>92945048.61852</v>
      </c>
      <c r="K92" s="6"/>
      <c r="L92" s="6"/>
      <c r="M92" s="6"/>
    </row>
    <row r="93" spans="1:13" ht="24" customHeight="1">
      <c r="A93" s="273"/>
      <c r="B93" s="273"/>
      <c r="C93" s="273"/>
      <c r="D93" s="368" t="s">
        <v>316</v>
      </c>
      <c r="E93" s="369"/>
      <c r="F93" s="315">
        <f>SUM(F85:F92)</f>
        <v>419514361.06</v>
      </c>
      <c r="G93" s="315">
        <f>SUM(G85:G92)</f>
        <v>396876036.9053129</v>
      </c>
      <c r="H93" s="315">
        <f>SUM(H85:H92)</f>
        <v>425119092.77382106</v>
      </c>
      <c r="I93" s="315">
        <f>SUM(I85:I92)</f>
        <v>218460440.1987927</v>
      </c>
      <c r="J93" s="315">
        <f>SUM(J85:J92)</f>
        <v>1459969930.9379268</v>
      </c>
      <c r="K93" s="6"/>
      <c r="L93" s="6"/>
      <c r="M93" s="6"/>
    </row>
    <row r="94" spans="1:13" ht="24" customHeight="1">
      <c r="A94" s="273"/>
      <c r="B94" s="273"/>
      <c r="C94" s="273"/>
      <c r="D94" s="368" t="s">
        <v>1</v>
      </c>
      <c r="E94" s="369"/>
      <c r="F94" s="280">
        <f>F93+F82+F71+F60+F49+F38+F27+F16</f>
        <v>4249075363.5999994</v>
      </c>
      <c r="G94" s="280">
        <f>G93+G82+G71+G60+G49+G38+G27+G16</f>
        <v>3328271097.6969647</v>
      </c>
      <c r="H94" s="280">
        <f>H93+H82+H71+H60+H49+H38+H27+H16</f>
        <v>3773155152.883389</v>
      </c>
      <c r="I94" s="280">
        <f>I93+I82+I71+I60+I49+I38+I27+I16</f>
        <v>2453876088.6286206</v>
      </c>
      <c r="J94" s="280">
        <f>J93+J82+J71+J60+J49+J38+J27+J16</f>
        <v>13804377702.808975</v>
      </c>
      <c r="K94" s="6"/>
      <c r="L94" s="6"/>
      <c r="M94" s="6"/>
    </row>
    <row r="95" spans="6:13" ht="12.75">
      <c r="F95" s="6"/>
      <c r="G95" s="6"/>
      <c r="H95" s="6"/>
      <c r="I95" s="6"/>
      <c r="J95" s="6"/>
      <c r="K95" s="6"/>
      <c r="L95" s="6"/>
      <c r="M95" s="6"/>
    </row>
    <row r="96" spans="6:13" ht="12.75">
      <c r="F96" s="6"/>
      <c r="G96" s="6"/>
      <c r="H96" s="6"/>
      <c r="I96" s="6"/>
      <c r="J96" s="6"/>
      <c r="K96" s="6"/>
      <c r="L96" s="6"/>
      <c r="M96" s="6"/>
    </row>
    <row r="97" spans="4:13" ht="23.25">
      <c r="D97" s="316" t="s">
        <v>317</v>
      </c>
      <c r="E97" s="366"/>
      <c r="F97" s="6"/>
      <c r="G97" s="6"/>
      <c r="H97" s="6"/>
      <c r="I97" s="6"/>
      <c r="J97" s="6"/>
      <c r="K97" s="6"/>
      <c r="L97" s="6"/>
      <c r="M97" s="6"/>
    </row>
    <row r="98" spans="4:13" ht="15">
      <c r="D98" s="430" t="s">
        <v>245</v>
      </c>
      <c r="E98" s="517" t="s">
        <v>244</v>
      </c>
      <c r="F98" s="515" t="s">
        <v>303</v>
      </c>
      <c r="G98" s="515"/>
      <c r="H98" s="515"/>
      <c r="I98" s="515"/>
      <c r="J98" s="382" t="s">
        <v>1</v>
      </c>
      <c r="K98" s="6"/>
      <c r="L98" s="6"/>
      <c r="M98" s="6"/>
    </row>
    <row r="99" spans="4:13" ht="14.25" customHeight="1">
      <c r="D99" s="520"/>
      <c r="E99" s="518"/>
      <c r="F99" s="513" t="s">
        <v>327</v>
      </c>
      <c r="G99" s="513" t="s">
        <v>304</v>
      </c>
      <c r="H99" s="513" t="s">
        <v>314</v>
      </c>
      <c r="I99" s="513" t="s">
        <v>315</v>
      </c>
      <c r="J99" s="516"/>
      <c r="K99" s="6"/>
      <c r="L99" s="6"/>
      <c r="M99" s="6"/>
    </row>
    <row r="100" spans="4:13" ht="14.25" customHeight="1">
      <c r="D100" s="431"/>
      <c r="E100" s="519"/>
      <c r="F100" s="514"/>
      <c r="G100" s="514"/>
      <c r="H100" s="514"/>
      <c r="I100" s="514"/>
      <c r="J100" s="383"/>
      <c r="K100" s="6"/>
      <c r="L100" s="6"/>
      <c r="M100" s="6"/>
    </row>
    <row r="101" spans="4:13" ht="14.25">
      <c r="D101" s="252" t="s">
        <v>246</v>
      </c>
      <c r="E101" s="360"/>
      <c r="F101" s="6"/>
      <c r="G101" s="6"/>
      <c r="H101" s="6"/>
      <c r="I101" s="6"/>
      <c r="J101" s="6"/>
      <c r="K101" s="6"/>
      <c r="L101" s="6"/>
      <c r="M101" s="6"/>
    </row>
    <row r="102" spans="4:13" ht="14.25">
      <c r="D102" s="252" t="s">
        <v>372</v>
      </c>
      <c r="E102" s="360">
        <f>E85+E74+E63+E52+E41+E30+E19+E8</f>
        <v>1</v>
      </c>
      <c r="F102" s="6">
        <f>'CALCULO PRESUPUESTO  BID JPO'!D138</f>
        <v>1810861857.6</v>
      </c>
      <c r="G102" s="6">
        <f>'CALCULO PRESUPUESTO  BID JPO'!E138</f>
        <v>1744890405.3408</v>
      </c>
      <c r="H102" s="6">
        <f>'CALCULO PRESUPUESTO  BID JPO'!F138</f>
        <v>1731650273.4905663</v>
      </c>
      <c r="I102" s="6">
        <f>'CALCULO PRESUPUESTO  BID JPO'!G138</f>
        <v>1516697388.5904295</v>
      </c>
      <c r="J102" s="6">
        <f>SUM(F102:I102)</f>
        <v>6804099925.021795</v>
      </c>
      <c r="K102" s="6"/>
      <c r="L102" s="6"/>
      <c r="M102" s="6"/>
    </row>
    <row r="103" spans="4:13" ht="14.25">
      <c r="D103" s="256" t="s">
        <v>247</v>
      </c>
      <c r="E103" s="360">
        <f>E86+E75+E64+E53+E42+E31+E20+E9</f>
        <v>1.0000000000000002</v>
      </c>
      <c r="F103" s="6">
        <f>'CALCULO PRESUPUESTO  BID JPO'!D139</f>
        <v>811200000</v>
      </c>
      <c r="G103" s="6">
        <f>'CALCULO PRESUPUESTO  BID JPO'!E139</f>
        <v>858253078.3561643</v>
      </c>
      <c r="H103" s="6">
        <f>'CALCULO PRESUPUESTO  BID JPO'!F139</f>
        <v>902658809.7008219</v>
      </c>
      <c r="I103" s="6">
        <f>'CALCULO PRESUPUESTO  BID JPO'!G139</f>
        <v>16345108.918934798</v>
      </c>
      <c r="J103" s="6">
        <f aca="true" t="shared" si="8" ref="J103:J109">SUM(F103:I103)</f>
        <v>2588456996.975921</v>
      </c>
      <c r="K103" s="6"/>
      <c r="L103" s="6"/>
      <c r="M103" s="6"/>
    </row>
    <row r="104" spans="4:13" ht="14.25">
      <c r="D104" s="257" t="s">
        <v>248</v>
      </c>
      <c r="E104" s="360">
        <f>E87+E76+E65+E54+E43+E32+E21+E10</f>
        <v>1</v>
      </c>
      <c r="F104" s="6">
        <f>'CALCULO PRESUPUESTO  BID JPO'!D140</f>
        <v>339600000</v>
      </c>
      <c r="G104" s="6">
        <f>'CALCULO PRESUPUESTO  BID JPO'!E140</f>
        <v>289600000</v>
      </c>
      <c r="H104" s="6">
        <f>'CALCULO PRESUPUESTO  BID JPO'!F140</f>
        <v>289600000</v>
      </c>
      <c r="I104" s="6">
        <f>'CALCULO PRESUPUESTO  BID JPO'!G140</f>
        <v>349600000</v>
      </c>
      <c r="J104" s="6">
        <f t="shared" si="8"/>
        <v>1268400000</v>
      </c>
      <c r="K104" s="6"/>
      <c r="L104" s="6"/>
      <c r="M104" s="6"/>
    </row>
    <row r="105" spans="4:13" ht="14.25">
      <c r="D105" s="256" t="s">
        <v>249</v>
      </c>
      <c r="E105" s="360"/>
      <c r="F105" s="6"/>
      <c r="G105" s="6"/>
      <c r="H105" s="6"/>
      <c r="I105" s="6"/>
      <c r="J105" s="6"/>
      <c r="K105" s="6"/>
      <c r="L105" s="6"/>
      <c r="M105" s="6"/>
    </row>
    <row r="106" spans="4:13" ht="14.25">
      <c r="D106" s="257" t="s">
        <v>250</v>
      </c>
      <c r="E106" s="360">
        <f>E89+E78+E67+E56+E45+E34+E23+E12</f>
        <v>1</v>
      </c>
      <c r="F106" s="6">
        <f>'CALCULO PRESUPUESTO  BID JPO'!D142</f>
        <v>130633506</v>
      </c>
      <c r="G106" s="6">
        <f>'CALCULO PRESUPUESTO  BID JPO'!E142</f>
        <v>54466654</v>
      </c>
      <c r="H106" s="6">
        <f>'CALCULO PRESUPUESTO  BID JPO'!F142</f>
        <v>449538719.932</v>
      </c>
      <c r="I106" s="6">
        <f>'CALCULO PRESUPUESTO  BID JPO'!G142</f>
        <v>207030928.508856</v>
      </c>
      <c r="J106" s="6">
        <f t="shared" si="8"/>
        <v>841669808.440856</v>
      </c>
      <c r="K106" s="6"/>
      <c r="L106" s="6"/>
      <c r="M106" s="6"/>
    </row>
    <row r="107" spans="4:13" ht="14.25">
      <c r="D107" s="256" t="s">
        <v>251</v>
      </c>
      <c r="E107" s="360"/>
      <c r="F107" s="6"/>
      <c r="G107" s="6"/>
      <c r="H107" s="6"/>
      <c r="I107" s="6"/>
      <c r="J107" s="6"/>
      <c r="K107" s="6"/>
      <c r="L107" s="6"/>
      <c r="M107" s="6"/>
    </row>
    <row r="108" spans="4:13" ht="14.25">
      <c r="D108" s="256" t="s">
        <v>252</v>
      </c>
      <c r="E108" s="360">
        <f>E91+E80+E69+E58+E47+E36+E25+E14</f>
        <v>1</v>
      </c>
      <c r="F108" s="6">
        <f>'CALCULO PRESUPUESTO  BID JPO'!D144</f>
        <v>442850000</v>
      </c>
      <c r="G108" s="6"/>
      <c r="H108" s="6"/>
      <c r="I108" s="6"/>
      <c r="J108" s="6">
        <f t="shared" si="8"/>
        <v>442850000</v>
      </c>
      <c r="K108" s="6"/>
      <c r="L108" s="6"/>
      <c r="M108" s="6"/>
    </row>
    <row r="109" spans="4:13" ht="14.25">
      <c r="D109" s="257" t="s">
        <v>253</v>
      </c>
      <c r="E109" s="360">
        <f>E92+E81+E70+E59+E48+E37+E26+E15</f>
        <v>1.0000000000000002</v>
      </c>
      <c r="F109" s="6">
        <f>'CALCULO PRESUPUESTO  BID JPO'!D145</f>
        <v>713930000</v>
      </c>
      <c r="G109" s="6">
        <f>'CALCULO PRESUPUESTO  BID JPO'!E145</f>
        <v>381060960</v>
      </c>
      <c r="H109" s="6">
        <f>'CALCULO PRESUPUESTO  BID JPO'!F145</f>
        <v>399707349.76</v>
      </c>
      <c r="I109" s="6">
        <f>'CALCULO PRESUPUESTO  BID JPO'!G145</f>
        <v>364202662.6104</v>
      </c>
      <c r="J109" s="6">
        <f t="shared" si="8"/>
        <v>1858900972.3704</v>
      </c>
      <c r="K109" s="6"/>
      <c r="L109" s="6"/>
      <c r="M109" s="6"/>
    </row>
    <row r="110" spans="4:13" ht="12.75">
      <c r="D110" s="317" t="s">
        <v>306</v>
      </c>
      <c r="E110" s="367"/>
      <c r="F110" s="318">
        <f>SUM(F102:F109)</f>
        <v>4249075363.6</v>
      </c>
      <c r="G110" s="318">
        <f>SUM(G102:G109)</f>
        <v>3328271097.6969643</v>
      </c>
      <c r="H110" s="318">
        <f>SUM(H102:H109)</f>
        <v>3773155152.8833885</v>
      </c>
      <c r="I110" s="318">
        <f>SUM(I102:I109)</f>
        <v>2453876088.6286206</v>
      </c>
      <c r="J110" s="318">
        <f>SUM(J102:J109)</f>
        <v>13804377702.808971</v>
      </c>
      <c r="K110" s="6"/>
      <c r="L110" s="6"/>
      <c r="M110" s="6"/>
    </row>
    <row r="111" spans="6:13" ht="12.75">
      <c r="F111" s="6">
        <f>4249075364-F110</f>
        <v>0.40000009536743164</v>
      </c>
      <c r="G111" s="6"/>
      <c r="H111" s="6"/>
      <c r="I111" s="6"/>
      <c r="J111" s="6"/>
      <c r="K111" s="6"/>
      <c r="L111" s="6"/>
      <c r="M111" s="6"/>
    </row>
    <row r="112" spans="6:13" ht="12.75">
      <c r="F112" s="6"/>
      <c r="G112" s="6"/>
      <c r="H112" s="6"/>
      <c r="I112" s="6"/>
      <c r="J112" s="6"/>
      <c r="K112" s="6"/>
      <c r="L112" s="6"/>
      <c r="M112" s="6"/>
    </row>
    <row r="113" spans="4:13" ht="23.25">
      <c r="D113" s="316" t="s">
        <v>305</v>
      </c>
      <c r="F113" s="6"/>
      <c r="G113" s="6"/>
      <c r="H113" s="6"/>
      <c r="I113" s="6"/>
      <c r="J113" s="6"/>
      <c r="K113" s="6"/>
      <c r="L113" s="6"/>
      <c r="M113" s="6"/>
    </row>
    <row r="114" spans="4:13" ht="15">
      <c r="D114" s="430" t="s">
        <v>245</v>
      </c>
      <c r="E114" s="517" t="s">
        <v>244</v>
      </c>
      <c r="F114" s="515" t="s">
        <v>303</v>
      </c>
      <c r="G114" s="515"/>
      <c r="H114" s="515"/>
      <c r="I114" s="515"/>
      <c r="J114" s="382" t="s">
        <v>1</v>
      </c>
      <c r="K114" s="6"/>
      <c r="L114" s="6"/>
      <c r="M114" s="6"/>
    </row>
    <row r="115" spans="4:13" ht="12.75">
      <c r="D115" s="520"/>
      <c r="E115" s="518"/>
      <c r="F115" s="513" t="s">
        <v>327</v>
      </c>
      <c r="G115" s="513" t="s">
        <v>304</v>
      </c>
      <c r="H115" s="513" t="s">
        <v>314</v>
      </c>
      <c r="I115" s="513" t="s">
        <v>315</v>
      </c>
      <c r="J115" s="516"/>
      <c r="K115" s="6"/>
      <c r="L115" s="6"/>
      <c r="M115" s="6"/>
    </row>
    <row r="116" spans="4:13" ht="12.75">
      <c r="D116" s="431"/>
      <c r="E116" s="519"/>
      <c r="F116" s="514"/>
      <c r="G116" s="514"/>
      <c r="H116" s="514"/>
      <c r="I116" s="514"/>
      <c r="J116" s="383"/>
      <c r="K116" s="6"/>
      <c r="L116" s="6"/>
      <c r="M116" s="6"/>
    </row>
    <row r="117" spans="4:13" ht="14.25">
      <c r="D117" s="252" t="s">
        <v>246</v>
      </c>
      <c r="E117" s="360"/>
      <c r="F117" s="6"/>
      <c r="G117" s="6"/>
      <c r="H117" s="6"/>
      <c r="I117" s="6"/>
      <c r="J117" s="6"/>
      <c r="K117" s="6"/>
      <c r="L117" s="6"/>
      <c r="M117" s="6"/>
    </row>
    <row r="118" spans="4:13" ht="14.25">
      <c r="D118" s="252" t="s">
        <v>372</v>
      </c>
      <c r="E118" s="360"/>
      <c r="F118" s="6">
        <f aca="true" t="shared" si="9" ref="F118:I120">F8+F19+F30+F41+F52+F63+F74+F85</f>
        <v>1810861857.6</v>
      </c>
      <c r="G118" s="6">
        <f t="shared" si="9"/>
        <v>1744890405.3408003</v>
      </c>
      <c r="H118" s="6">
        <f t="shared" si="9"/>
        <v>1731650273.4905665</v>
      </c>
      <c r="I118" s="6">
        <f t="shared" si="9"/>
        <v>1516697388.5904295</v>
      </c>
      <c r="J118" s="6">
        <f>SUM(F118:I118)</f>
        <v>6804099925.021796</v>
      </c>
      <c r="K118" s="6"/>
      <c r="L118" s="6"/>
      <c r="M118" s="6"/>
    </row>
    <row r="119" spans="4:13" ht="14.25">
      <c r="D119" s="256" t="s">
        <v>247</v>
      </c>
      <c r="E119" s="361"/>
      <c r="F119" s="6">
        <f t="shared" si="9"/>
        <v>811200000</v>
      </c>
      <c r="G119" s="6">
        <f t="shared" si="9"/>
        <v>858253078.3561645</v>
      </c>
      <c r="H119" s="6">
        <f t="shared" si="9"/>
        <v>902658809.7008219</v>
      </c>
      <c r="I119" s="6">
        <f t="shared" si="9"/>
        <v>16345108.9189348</v>
      </c>
      <c r="J119" s="6">
        <f>SUM(F119:I119)</f>
        <v>2588456996.975921</v>
      </c>
      <c r="K119" s="6"/>
      <c r="L119" s="6"/>
      <c r="M119" s="6"/>
    </row>
    <row r="120" spans="4:13" ht="14.25">
      <c r="D120" s="257" t="s">
        <v>248</v>
      </c>
      <c r="E120" s="362"/>
      <c r="F120" s="6">
        <f t="shared" si="9"/>
        <v>339600000</v>
      </c>
      <c r="G120" s="6">
        <f t="shared" si="9"/>
        <v>289600000</v>
      </c>
      <c r="H120" s="6">
        <f t="shared" si="9"/>
        <v>289600000</v>
      </c>
      <c r="I120" s="6">
        <f t="shared" si="9"/>
        <v>349600000</v>
      </c>
      <c r="J120" s="6">
        <f>SUM(F120:I120)</f>
        <v>1268400000</v>
      </c>
      <c r="K120" s="6"/>
      <c r="L120" s="6"/>
      <c r="M120" s="6"/>
    </row>
    <row r="121" spans="4:13" ht="14.25">
      <c r="D121" s="256" t="s">
        <v>249</v>
      </c>
      <c r="E121" s="361"/>
      <c r="F121" s="6"/>
      <c r="G121" s="6"/>
      <c r="H121" s="6"/>
      <c r="I121" s="6"/>
      <c r="J121" s="6"/>
      <c r="K121" s="6"/>
      <c r="L121" s="6"/>
      <c r="M121" s="6"/>
    </row>
    <row r="122" spans="4:13" ht="14.25">
      <c r="D122" s="257" t="s">
        <v>250</v>
      </c>
      <c r="E122" s="362"/>
      <c r="F122" s="6">
        <f>F12+F23+F34+F45+F56+F67+F78+F89</f>
        <v>130633505.99999999</v>
      </c>
      <c r="G122" s="6">
        <f>G12+G23+G34+G45+G56+G67+G78+G89</f>
        <v>54466654.00000001</v>
      </c>
      <c r="H122" s="6">
        <f>H12+H23+H34+H45+H56+H67+H78+H89</f>
        <v>449538719.93200004</v>
      </c>
      <c r="I122" s="6">
        <f>I12+I23+I34+I45+I56+I67+I78+I89</f>
        <v>207030928.50885606</v>
      </c>
      <c r="J122" s="6">
        <f>SUM(F122:I122)</f>
        <v>841669808.4408561</v>
      </c>
      <c r="K122" s="6"/>
      <c r="L122" s="6"/>
      <c r="M122" s="6"/>
    </row>
    <row r="123" spans="4:13" ht="14.25">
      <c r="D123" s="256" t="s">
        <v>251</v>
      </c>
      <c r="E123" s="361"/>
      <c r="F123" s="6"/>
      <c r="G123" s="6"/>
      <c r="H123" s="6"/>
      <c r="I123" s="6"/>
      <c r="J123" s="6"/>
      <c r="K123" s="6"/>
      <c r="L123" s="6"/>
      <c r="M123" s="6"/>
    </row>
    <row r="124" spans="4:13" ht="14.25">
      <c r="D124" s="256" t="s">
        <v>252</v>
      </c>
      <c r="E124" s="361"/>
      <c r="F124" s="6">
        <f>F14+F25+F36+F47+F58+F69+F80+F91</f>
        <v>442850000</v>
      </c>
      <c r="G124" s="6"/>
      <c r="H124" s="6"/>
      <c r="I124" s="6"/>
      <c r="J124" s="6">
        <f>SUM(F124:I124)</f>
        <v>442850000</v>
      </c>
      <c r="K124" s="6"/>
      <c r="L124" s="6"/>
      <c r="M124" s="6"/>
    </row>
    <row r="125" spans="4:13" ht="14.25">
      <c r="D125" s="257" t="s">
        <v>253</v>
      </c>
      <c r="E125" s="362"/>
      <c r="F125" s="6">
        <f>F15+F26+F37+F48+F59+F70+F81+F92</f>
        <v>713930000</v>
      </c>
      <c r="G125" s="6">
        <f>G15+G26+G37+G48+G59+G70+G81+G92</f>
        <v>381060960</v>
      </c>
      <c r="H125" s="6">
        <f>H15+H26+H37+H48+H59+H70+H81+H92</f>
        <v>399707349.75999993</v>
      </c>
      <c r="I125" s="6">
        <f>I15+I26+I37+I48+I59+I70+I81+I92</f>
        <v>364202662.61039996</v>
      </c>
      <c r="J125" s="6">
        <f>SUM(F125:I125)</f>
        <v>1858900972.3704</v>
      </c>
      <c r="K125" s="6"/>
      <c r="L125" s="6"/>
      <c r="M125" s="6"/>
    </row>
    <row r="126" spans="4:13" ht="12.75">
      <c r="D126" s="317" t="s">
        <v>306</v>
      </c>
      <c r="E126" s="367"/>
      <c r="F126" s="318">
        <f>SUM(F118:F125)</f>
        <v>4249075363.6</v>
      </c>
      <c r="G126" s="318">
        <f>SUM(G118:G125)</f>
        <v>3328271097.6969647</v>
      </c>
      <c r="H126" s="318">
        <f>SUM(H118:H125)</f>
        <v>3773155152.883388</v>
      </c>
      <c r="I126" s="318">
        <f>SUM(I118:I125)</f>
        <v>2453876088.62862</v>
      </c>
      <c r="J126" s="318">
        <f>SUM(J118:J125)</f>
        <v>13804377702.808973</v>
      </c>
      <c r="K126" s="6"/>
      <c r="L126" s="6"/>
      <c r="M126" s="6"/>
    </row>
    <row r="127" spans="6:13" ht="12.75">
      <c r="F127" s="6"/>
      <c r="G127" s="6"/>
      <c r="H127" s="6"/>
      <c r="I127" s="6"/>
      <c r="J127" s="6"/>
      <c r="K127" s="6"/>
      <c r="L127" s="6"/>
      <c r="M127" s="6"/>
    </row>
    <row r="128" spans="6:13" ht="12.75">
      <c r="F128" s="6"/>
      <c r="G128" s="6"/>
      <c r="H128" s="6"/>
      <c r="I128" s="6"/>
      <c r="J128" s="6"/>
      <c r="K128" s="6"/>
      <c r="L128" s="6"/>
      <c r="M128" s="6"/>
    </row>
    <row r="129" spans="6:13" ht="12.75">
      <c r="F129" s="6"/>
      <c r="G129" s="6"/>
      <c r="H129" s="6"/>
      <c r="I129" s="6"/>
      <c r="J129" s="6"/>
      <c r="K129" s="6"/>
      <c r="L129" s="6"/>
      <c r="M129" s="6"/>
    </row>
    <row r="130" spans="6:13" ht="12.75">
      <c r="F130" s="6"/>
      <c r="G130" s="6"/>
      <c r="H130" s="6"/>
      <c r="I130" s="6"/>
      <c r="J130" s="6"/>
      <c r="K130" s="6"/>
      <c r="L130" s="6"/>
      <c r="M130" s="6"/>
    </row>
    <row r="131" spans="6:13" ht="12.75">
      <c r="F131" s="6"/>
      <c r="G131" s="6"/>
      <c r="H131" s="6"/>
      <c r="I131" s="6"/>
      <c r="J131" s="6"/>
      <c r="K131" s="6"/>
      <c r="L131" s="6"/>
      <c r="M131" s="6"/>
    </row>
    <row r="132" spans="6:13" ht="12.75">
      <c r="F132" s="6"/>
      <c r="G132" s="6"/>
      <c r="H132" s="6"/>
      <c r="I132" s="6"/>
      <c r="J132" s="6"/>
      <c r="K132" s="6"/>
      <c r="L132" s="6"/>
      <c r="M132" s="6"/>
    </row>
    <row r="133" spans="6:13" ht="12.75">
      <c r="F133" s="6"/>
      <c r="G133" s="6"/>
      <c r="H133" s="6"/>
      <c r="I133" s="6"/>
      <c r="J133" s="6"/>
      <c r="K133" s="6"/>
      <c r="L133" s="6"/>
      <c r="M133" s="6"/>
    </row>
    <row r="134" spans="6:13" ht="12.75">
      <c r="F134" s="6"/>
      <c r="G134" s="6"/>
      <c r="H134" s="6"/>
      <c r="I134" s="6"/>
      <c r="J134" s="6"/>
      <c r="K134" s="6"/>
      <c r="L134" s="6"/>
      <c r="M134" s="6"/>
    </row>
    <row r="135" spans="6:13" ht="12.75">
      <c r="F135" s="6"/>
      <c r="G135" s="6"/>
      <c r="H135" s="6"/>
      <c r="I135" s="6"/>
      <c r="J135" s="6"/>
      <c r="K135" s="6"/>
      <c r="L135" s="6"/>
      <c r="M135" s="6"/>
    </row>
    <row r="136" spans="6:13" ht="12.75">
      <c r="F136" s="6"/>
      <c r="G136" s="6"/>
      <c r="H136" s="6"/>
      <c r="I136" s="6"/>
      <c r="J136" s="6"/>
      <c r="K136" s="6"/>
      <c r="L136" s="6"/>
      <c r="M136" s="6"/>
    </row>
    <row r="137" spans="6:13" ht="12.75">
      <c r="F137" s="6"/>
      <c r="G137" s="6"/>
      <c r="H137" s="6"/>
      <c r="I137" s="6"/>
      <c r="J137" s="6"/>
      <c r="K137" s="6"/>
      <c r="L137" s="6"/>
      <c r="M137" s="6"/>
    </row>
    <row r="138" spans="6:13" ht="12.75">
      <c r="F138" s="6"/>
      <c r="G138" s="6"/>
      <c r="H138" s="6"/>
      <c r="I138" s="6"/>
      <c r="J138" s="6"/>
      <c r="K138" s="6"/>
      <c r="L138" s="6"/>
      <c r="M138" s="6"/>
    </row>
    <row r="139" spans="6:13" ht="12.75">
      <c r="F139" s="6"/>
      <c r="G139" s="6"/>
      <c r="H139" s="6"/>
      <c r="I139" s="6"/>
      <c r="J139" s="6"/>
      <c r="K139" s="6"/>
      <c r="L139" s="6"/>
      <c r="M139" s="6"/>
    </row>
    <row r="140" spans="6:13" ht="12.75">
      <c r="F140" s="6"/>
      <c r="G140" s="6"/>
      <c r="H140" s="6"/>
      <c r="I140" s="6"/>
      <c r="J140" s="6"/>
      <c r="K140" s="6"/>
      <c r="L140" s="6"/>
      <c r="M140" s="6"/>
    </row>
    <row r="141" spans="6:13" ht="12.75">
      <c r="F141" s="6"/>
      <c r="G141" s="6"/>
      <c r="H141" s="6"/>
      <c r="I141" s="6"/>
      <c r="J141" s="6"/>
      <c r="K141" s="6"/>
      <c r="L141" s="6"/>
      <c r="M141" s="6"/>
    </row>
    <row r="142" spans="6:13" ht="12.75">
      <c r="F142" s="6"/>
      <c r="G142" s="6"/>
      <c r="H142" s="6"/>
      <c r="I142" s="6"/>
      <c r="J142" s="6"/>
      <c r="K142" s="6"/>
      <c r="L142" s="6"/>
      <c r="M142" s="6"/>
    </row>
    <row r="143" spans="6:13" ht="12.75">
      <c r="F143" s="6"/>
      <c r="G143" s="6"/>
      <c r="H143" s="6"/>
      <c r="I143" s="6"/>
      <c r="J143" s="6"/>
      <c r="K143" s="6"/>
      <c r="L143" s="6"/>
      <c r="M143" s="6"/>
    </row>
    <row r="144" spans="6:13" ht="12.75">
      <c r="F144" s="6"/>
      <c r="G144" s="6"/>
      <c r="H144" s="6"/>
      <c r="I144" s="6"/>
      <c r="J144" s="6"/>
      <c r="K144" s="6"/>
      <c r="L144" s="6"/>
      <c r="M144" s="6"/>
    </row>
    <row r="145" spans="6:13" ht="12.75">
      <c r="F145" s="6"/>
      <c r="G145" s="6"/>
      <c r="H145" s="6"/>
      <c r="I145" s="6"/>
      <c r="J145" s="6"/>
      <c r="K145" s="6"/>
      <c r="L145" s="6"/>
      <c r="M145" s="6"/>
    </row>
    <row r="146" spans="6:13" ht="12.75">
      <c r="F146" s="6"/>
      <c r="G146" s="6"/>
      <c r="H146" s="6"/>
      <c r="I146" s="6"/>
      <c r="J146" s="6"/>
      <c r="K146" s="6"/>
      <c r="L146" s="6"/>
      <c r="M146" s="6"/>
    </row>
    <row r="147" spans="6:13" ht="12.75">
      <c r="F147" s="6"/>
      <c r="G147" s="6"/>
      <c r="H147" s="6"/>
      <c r="I147" s="6"/>
      <c r="J147" s="6"/>
      <c r="K147" s="6"/>
      <c r="L147" s="6"/>
      <c r="M147" s="6"/>
    </row>
    <row r="148" spans="6:13" ht="12.75">
      <c r="F148" s="6"/>
      <c r="G148" s="6"/>
      <c r="H148" s="6"/>
      <c r="I148" s="6"/>
      <c r="J148" s="6"/>
      <c r="K148" s="6"/>
      <c r="L148" s="6"/>
      <c r="M148" s="6"/>
    </row>
    <row r="149" spans="6:13" ht="12.75">
      <c r="F149" s="6"/>
      <c r="G149" s="6"/>
      <c r="H149" s="6"/>
      <c r="I149" s="6"/>
      <c r="J149" s="6"/>
      <c r="K149" s="6"/>
      <c r="L149" s="6"/>
      <c r="M149" s="6"/>
    </row>
    <row r="150" spans="6:13" ht="12.75">
      <c r="F150" s="6"/>
      <c r="G150" s="6"/>
      <c r="H150" s="6"/>
      <c r="I150" s="6"/>
      <c r="J150" s="6"/>
      <c r="K150" s="6"/>
      <c r="L150" s="6"/>
      <c r="M150" s="6"/>
    </row>
    <row r="151" spans="6:13" ht="12.75">
      <c r="F151" s="6"/>
      <c r="G151" s="6"/>
      <c r="H151" s="6"/>
      <c r="I151" s="6"/>
      <c r="J151" s="6"/>
      <c r="K151" s="6"/>
      <c r="L151" s="6"/>
      <c r="M151" s="6"/>
    </row>
    <row r="152" spans="6:13" ht="12.75">
      <c r="F152" s="6"/>
      <c r="G152" s="6"/>
      <c r="H152" s="6"/>
      <c r="I152" s="6"/>
      <c r="J152" s="6"/>
      <c r="K152" s="6"/>
      <c r="L152" s="6"/>
      <c r="M152" s="6"/>
    </row>
    <row r="153" spans="6:13" ht="12.75">
      <c r="F153" s="6"/>
      <c r="G153" s="6"/>
      <c r="H153" s="6"/>
      <c r="I153" s="6"/>
      <c r="J153" s="6"/>
      <c r="K153" s="6"/>
      <c r="L153" s="6"/>
      <c r="M153" s="6"/>
    </row>
    <row r="154" spans="6:13" ht="12.75">
      <c r="F154" s="6"/>
      <c r="G154" s="6"/>
      <c r="H154" s="6"/>
      <c r="I154" s="6"/>
      <c r="J154" s="6"/>
      <c r="K154" s="6"/>
      <c r="L154" s="6"/>
      <c r="M154" s="6"/>
    </row>
    <row r="155" spans="6:13" ht="12.75">
      <c r="F155" s="6"/>
      <c r="G155" s="6"/>
      <c r="H155" s="6"/>
      <c r="I155" s="6"/>
      <c r="J155" s="6"/>
      <c r="K155" s="6"/>
      <c r="L155" s="6"/>
      <c r="M155" s="6"/>
    </row>
    <row r="156" spans="6:13" ht="12.75">
      <c r="F156" s="6"/>
      <c r="G156" s="6"/>
      <c r="H156" s="6"/>
      <c r="I156" s="6"/>
      <c r="J156" s="6"/>
      <c r="K156" s="6"/>
      <c r="L156" s="6"/>
      <c r="M156" s="6"/>
    </row>
    <row r="157" spans="6:13" ht="12.75">
      <c r="F157" s="6"/>
      <c r="G157" s="6"/>
      <c r="H157" s="6"/>
      <c r="I157" s="6"/>
      <c r="J157" s="6"/>
      <c r="K157" s="6"/>
      <c r="L157" s="6"/>
      <c r="M157" s="6"/>
    </row>
    <row r="158" spans="6:13" ht="12.75">
      <c r="F158" s="6"/>
      <c r="G158" s="6"/>
      <c r="H158" s="6"/>
      <c r="I158" s="6"/>
      <c r="J158" s="6"/>
      <c r="K158" s="6"/>
      <c r="L158" s="6"/>
      <c r="M158" s="6"/>
    </row>
    <row r="159" spans="6:13" ht="12.75">
      <c r="F159" s="6"/>
      <c r="G159" s="6"/>
      <c r="H159" s="6"/>
      <c r="I159" s="6"/>
      <c r="J159" s="6"/>
      <c r="K159" s="6"/>
      <c r="L159" s="6"/>
      <c r="M159" s="6"/>
    </row>
    <row r="160" spans="6:13" ht="12.75">
      <c r="F160" s="6"/>
      <c r="G160" s="6"/>
      <c r="H160" s="6"/>
      <c r="I160" s="6"/>
      <c r="J160" s="6"/>
      <c r="K160" s="6"/>
      <c r="L160" s="6"/>
      <c r="M160" s="6"/>
    </row>
    <row r="161" spans="6:13" ht="12.75">
      <c r="F161" s="6"/>
      <c r="G161" s="6"/>
      <c r="H161" s="6"/>
      <c r="I161" s="6"/>
      <c r="J161" s="6"/>
      <c r="K161" s="6"/>
      <c r="L161" s="6"/>
      <c r="M161" s="6"/>
    </row>
    <row r="162" spans="6:13" ht="12.75">
      <c r="F162" s="6"/>
      <c r="G162" s="6"/>
      <c r="H162" s="6"/>
      <c r="I162" s="6"/>
      <c r="J162" s="6"/>
      <c r="K162" s="6"/>
      <c r="L162" s="6"/>
      <c r="M162" s="6"/>
    </row>
    <row r="163" spans="6:13" ht="12.75">
      <c r="F163" s="6"/>
      <c r="G163" s="6"/>
      <c r="H163" s="6"/>
      <c r="I163" s="6"/>
      <c r="J163" s="6"/>
      <c r="K163" s="6"/>
      <c r="L163" s="6"/>
      <c r="M163" s="6"/>
    </row>
    <row r="164" spans="6:13" ht="12.75">
      <c r="F164" s="6"/>
      <c r="G164" s="6"/>
      <c r="H164" s="6"/>
      <c r="I164" s="6"/>
      <c r="J164" s="6"/>
      <c r="K164" s="6"/>
      <c r="L164" s="6"/>
      <c r="M164" s="6"/>
    </row>
    <row r="165" spans="6:13" ht="12.75">
      <c r="F165" s="6"/>
      <c r="G165" s="6"/>
      <c r="H165" s="6"/>
      <c r="I165" s="6"/>
      <c r="J165" s="6"/>
      <c r="K165" s="6"/>
      <c r="L165" s="6"/>
      <c r="M165" s="6"/>
    </row>
    <row r="166" spans="6:13" ht="12.75">
      <c r="F166" s="6"/>
      <c r="G166" s="6"/>
      <c r="H166" s="6"/>
      <c r="I166" s="6"/>
      <c r="J166" s="6"/>
      <c r="K166" s="6"/>
      <c r="L166" s="6"/>
      <c r="M166" s="6"/>
    </row>
    <row r="167" spans="6:13" ht="12.75">
      <c r="F167" s="6"/>
      <c r="G167" s="6"/>
      <c r="H167" s="6"/>
      <c r="I167" s="6"/>
      <c r="J167" s="6"/>
      <c r="K167" s="6"/>
      <c r="L167" s="6"/>
      <c r="M167" s="6"/>
    </row>
    <row r="168" spans="6:13" ht="12.75">
      <c r="F168" s="6"/>
      <c r="G168" s="6"/>
      <c r="H168" s="6"/>
      <c r="I168" s="6"/>
      <c r="J168" s="6"/>
      <c r="K168" s="6"/>
      <c r="L168" s="6"/>
      <c r="M168" s="6"/>
    </row>
    <row r="169" spans="6:13" ht="12.75">
      <c r="F169" s="6"/>
      <c r="G169" s="6"/>
      <c r="H169" s="6"/>
      <c r="I169" s="6"/>
      <c r="J169" s="6"/>
      <c r="K169" s="6"/>
      <c r="L169" s="6"/>
      <c r="M169" s="6"/>
    </row>
    <row r="170" spans="6:13" ht="12.75">
      <c r="F170" s="6"/>
      <c r="G170" s="6"/>
      <c r="H170" s="6"/>
      <c r="I170" s="6"/>
      <c r="J170" s="6"/>
      <c r="K170" s="6"/>
      <c r="L170" s="6"/>
      <c r="M170" s="6"/>
    </row>
    <row r="171" spans="6:13" ht="12.75">
      <c r="F171" s="6"/>
      <c r="G171" s="6"/>
      <c r="H171" s="6"/>
      <c r="I171" s="6"/>
      <c r="J171" s="6"/>
      <c r="K171" s="6"/>
      <c r="L171" s="6"/>
      <c r="M171" s="6"/>
    </row>
    <row r="172" spans="6:13" ht="12.75">
      <c r="F172" s="6"/>
      <c r="G172" s="6"/>
      <c r="H172" s="6"/>
      <c r="I172" s="6"/>
      <c r="J172" s="6"/>
      <c r="K172" s="6"/>
      <c r="L172" s="6"/>
      <c r="M172" s="6"/>
    </row>
    <row r="173" spans="6:13" ht="12.75">
      <c r="F173" s="6"/>
      <c r="G173" s="6"/>
      <c r="H173" s="6"/>
      <c r="I173" s="6"/>
      <c r="J173" s="6"/>
      <c r="K173" s="6"/>
      <c r="L173" s="6"/>
      <c r="M173" s="6"/>
    </row>
    <row r="174" spans="6:13" ht="12.75">
      <c r="F174" s="6"/>
      <c r="G174" s="6"/>
      <c r="H174" s="6"/>
      <c r="I174" s="6"/>
      <c r="J174" s="6"/>
      <c r="K174" s="6"/>
      <c r="L174" s="6"/>
      <c r="M174" s="6"/>
    </row>
    <row r="175" spans="6:13" ht="12.75">
      <c r="F175" s="6"/>
      <c r="G175" s="6"/>
      <c r="H175" s="6"/>
      <c r="I175" s="6"/>
      <c r="J175" s="6"/>
      <c r="K175" s="6"/>
      <c r="L175" s="6"/>
      <c r="M175" s="6"/>
    </row>
    <row r="176" spans="6:13" ht="12.75">
      <c r="F176" s="6"/>
      <c r="G176" s="6"/>
      <c r="H176" s="6"/>
      <c r="I176" s="6"/>
      <c r="J176" s="6"/>
      <c r="K176" s="6"/>
      <c r="L176" s="6"/>
      <c r="M176" s="6"/>
    </row>
    <row r="177" spans="6:13" ht="12.75">
      <c r="F177" s="6"/>
      <c r="G177" s="6"/>
      <c r="H177" s="6"/>
      <c r="I177" s="6"/>
      <c r="J177" s="6"/>
      <c r="K177" s="6"/>
      <c r="L177" s="6"/>
      <c r="M177" s="6"/>
    </row>
    <row r="178" spans="6:13" ht="12.75">
      <c r="F178" s="6"/>
      <c r="G178" s="6"/>
      <c r="H178" s="6"/>
      <c r="I178" s="6"/>
      <c r="J178" s="6"/>
      <c r="K178" s="6"/>
      <c r="L178" s="6"/>
      <c r="M178" s="6"/>
    </row>
    <row r="179" spans="6:13" ht="12.75">
      <c r="F179" s="6"/>
      <c r="G179" s="6"/>
      <c r="H179" s="6"/>
      <c r="I179" s="6"/>
      <c r="J179" s="6"/>
      <c r="K179" s="6"/>
      <c r="L179" s="6"/>
      <c r="M179" s="6"/>
    </row>
    <row r="180" spans="6:13" ht="12.75">
      <c r="F180" s="6"/>
      <c r="G180" s="6"/>
      <c r="H180" s="6"/>
      <c r="I180" s="6"/>
      <c r="J180" s="6"/>
      <c r="K180" s="6"/>
      <c r="L180" s="6"/>
      <c r="M180" s="6"/>
    </row>
    <row r="181" spans="6:13" ht="12.75">
      <c r="F181" s="6"/>
      <c r="G181" s="6"/>
      <c r="H181" s="6"/>
      <c r="I181" s="6"/>
      <c r="J181" s="6"/>
      <c r="K181" s="6"/>
      <c r="L181" s="6"/>
      <c r="M181" s="6"/>
    </row>
    <row r="182" spans="6:13" ht="12.75">
      <c r="F182" s="6"/>
      <c r="G182" s="6"/>
      <c r="H182" s="6"/>
      <c r="I182" s="6"/>
      <c r="J182" s="6"/>
      <c r="K182" s="6"/>
      <c r="L182" s="6"/>
      <c r="M182" s="6"/>
    </row>
    <row r="183" spans="6:13" ht="12.75">
      <c r="F183" s="6"/>
      <c r="G183" s="6"/>
      <c r="H183" s="6"/>
      <c r="I183" s="6"/>
      <c r="J183" s="6"/>
      <c r="K183" s="6"/>
      <c r="L183" s="6"/>
      <c r="M183" s="6"/>
    </row>
    <row r="184" spans="6:13" ht="12.75">
      <c r="F184" s="6"/>
      <c r="G184" s="6"/>
      <c r="H184" s="6"/>
      <c r="I184" s="6"/>
      <c r="J184" s="6"/>
      <c r="K184" s="6"/>
      <c r="L184" s="6"/>
      <c r="M184" s="6"/>
    </row>
    <row r="185" spans="6:13" ht="12.75">
      <c r="F185" s="6"/>
      <c r="G185" s="6"/>
      <c r="H185" s="6"/>
      <c r="I185" s="6"/>
      <c r="J185" s="6"/>
      <c r="K185" s="6"/>
      <c r="L185" s="6"/>
      <c r="M185" s="6"/>
    </row>
    <row r="186" spans="6:13" ht="12.75">
      <c r="F186" s="6"/>
      <c r="G186" s="6"/>
      <c r="H186" s="6"/>
      <c r="I186" s="6"/>
      <c r="J186" s="6"/>
      <c r="K186" s="6"/>
      <c r="L186" s="6"/>
      <c r="M186" s="6"/>
    </row>
    <row r="187" spans="6:13" ht="12.75">
      <c r="F187" s="6"/>
      <c r="G187" s="6"/>
      <c r="H187" s="6"/>
      <c r="I187" s="6"/>
      <c r="J187" s="6"/>
      <c r="K187" s="6"/>
      <c r="L187" s="6"/>
      <c r="M187" s="6"/>
    </row>
    <row r="188" spans="6:13" ht="12.75">
      <c r="F188" s="6"/>
      <c r="G188" s="6"/>
      <c r="H188" s="6"/>
      <c r="I188" s="6"/>
      <c r="J188" s="6"/>
      <c r="K188" s="6"/>
      <c r="L188" s="6"/>
      <c r="M188" s="6"/>
    </row>
    <row r="189" spans="6:13" ht="12.75">
      <c r="F189" s="6"/>
      <c r="G189" s="6"/>
      <c r="H189" s="6"/>
      <c r="I189" s="6"/>
      <c r="J189" s="6"/>
      <c r="K189" s="6"/>
      <c r="L189" s="6"/>
      <c r="M189" s="6"/>
    </row>
    <row r="190" spans="6:13" ht="12.75">
      <c r="F190" s="6"/>
      <c r="G190" s="6"/>
      <c r="H190" s="6"/>
      <c r="I190" s="6"/>
      <c r="J190" s="6"/>
      <c r="K190" s="6"/>
      <c r="L190" s="6"/>
      <c r="M190" s="6"/>
    </row>
    <row r="191" spans="6:13" ht="12.75">
      <c r="F191" s="6"/>
      <c r="G191" s="6"/>
      <c r="H191" s="6"/>
      <c r="I191" s="6"/>
      <c r="J191" s="6"/>
      <c r="K191" s="6"/>
      <c r="L191" s="6"/>
      <c r="M191" s="6"/>
    </row>
    <row r="192" spans="6:13" ht="12.75">
      <c r="F192" s="6"/>
      <c r="G192" s="6"/>
      <c r="H192" s="6"/>
      <c r="I192" s="6"/>
      <c r="J192" s="6"/>
      <c r="K192" s="6"/>
      <c r="L192" s="6"/>
      <c r="M192" s="6"/>
    </row>
    <row r="193" spans="6:13" ht="12.75">
      <c r="F193" s="6"/>
      <c r="G193" s="6"/>
      <c r="H193" s="6"/>
      <c r="I193" s="6"/>
      <c r="J193" s="6"/>
      <c r="K193" s="6"/>
      <c r="L193" s="6"/>
      <c r="M193" s="6"/>
    </row>
    <row r="194" spans="6:13" ht="12.75">
      <c r="F194" s="6"/>
      <c r="G194" s="6"/>
      <c r="H194" s="6"/>
      <c r="I194" s="6"/>
      <c r="J194" s="6"/>
      <c r="K194" s="6"/>
      <c r="L194" s="6"/>
      <c r="M194" s="6"/>
    </row>
    <row r="195" spans="6:13" ht="12.75">
      <c r="F195" s="6"/>
      <c r="G195" s="6"/>
      <c r="H195" s="6"/>
      <c r="I195" s="6"/>
      <c r="J195" s="6"/>
      <c r="K195" s="6"/>
      <c r="L195" s="6"/>
      <c r="M195" s="6"/>
    </row>
    <row r="196" spans="6:13" ht="12.75">
      <c r="F196" s="6"/>
      <c r="G196" s="6"/>
      <c r="H196" s="6"/>
      <c r="I196" s="6"/>
      <c r="J196" s="6"/>
      <c r="K196" s="6"/>
      <c r="L196" s="6"/>
      <c r="M196" s="6"/>
    </row>
    <row r="197" spans="6:13" ht="12.75">
      <c r="F197" s="6"/>
      <c r="G197" s="6"/>
      <c r="H197" s="6"/>
      <c r="I197" s="6"/>
      <c r="J197" s="6"/>
      <c r="K197" s="6"/>
      <c r="L197" s="6"/>
      <c r="M197" s="6"/>
    </row>
    <row r="198" spans="6:13" ht="12.75">
      <c r="F198" s="6"/>
      <c r="G198" s="6"/>
      <c r="H198" s="6"/>
      <c r="I198" s="6"/>
      <c r="J198" s="6"/>
      <c r="K198" s="6"/>
      <c r="L198" s="6"/>
      <c r="M198" s="6"/>
    </row>
    <row r="199" spans="6:13" ht="12.75">
      <c r="F199" s="6"/>
      <c r="G199" s="6"/>
      <c r="H199" s="6"/>
      <c r="I199" s="6"/>
      <c r="J199" s="6"/>
      <c r="K199" s="6"/>
      <c r="L199" s="6"/>
      <c r="M199" s="6"/>
    </row>
    <row r="200" spans="6:13" ht="12.75">
      <c r="F200" s="6"/>
      <c r="G200" s="6"/>
      <c r="H200" s="6"/>
      <c r="I200" s="6"/>
      <c r="J200" s="6"/>
      <c r="K200" s="6"/>
      <c r="L200" s="6"/>
      <c r="M200" s="6"/>
    </row>
    <row r="201" spans="6:13" ht="12.75">
      <c r="F201" s="6"/>
      <c r="G201" s="6"/>
      <c r="H201" s="6"/>
      <c r="I201" s="6"/>
      <c r="J201" s="6"/>
      <c r="K201" s="6"/>
      <c r="L201" s="6"/>
      <c r="M201" s="6"/>
    </row>
    <row r="202" spans="6:13" ht="12.75">
      <c r="F202" s="6"/>
      <c r="G202" s="6"/>
      <c r="H202" s="6"/>
      <c r="I202" s="6"/>
      <c r="J202" s="6"/>
      <c r="K202" s="6"/>
      <c r="L202" s="6"/>
      <c r="M202" s="6"/>
    </row>
    <row r="203" spans="6:13" ht="12.75">
      <c r="F203" s="6"/>
      <c r="G203" s="6"/>
      <c r="H203" s="6"/>
      <c r="I203" s="6"/>
      <c r="J203" s="6"/>
      <c r="K203" s="6"/>
      <c r="L203" s="6"/>
      <c r="M203" s="6"/>
    </row>
    <row r="204" spans="6:13" ht="12.75">
      <c r="F204" s="6"/>
      <c r="G204" s="6"/>
      <c r="H204" s="6"/>
      <c r="I204" s="6"/>
      <c r="J204" s="6"/>
      <c r="K204" s="6"/>
      <c r="L204" s="6"/>
      <c r="M204" s="6"/>
    </row>
    <row r="205" spans="6:13" ht="12.75">
      <c r="F205" s="6"/>
      <c r="G205" s="6"/>
      <c r="H205" s="6"/>
      <c r="I205" s="6"/>
      <c r="J205" s="6"/>
      <c r="K205" s="6"/>
      <c r="L205" s="6"/>
      <c r="M205" s="6"/>
    </row>
    <row r="206" spans="6:13" ht="12.75">
      <c r="F206" s="6"/>
      <c r="G206" s="6"/>
      <c r="H206" s="6"/>
      <c r="I206" s="6"/>
      <c r="J206" s="6"/>
      <c r="K206" s="6"/>
      <c r="L206" s="6"/>
      <c r="M206" s="6"/>
    </row>
    <row r="207" spans="6:13" ht="12.75">
      <c r="F207" s="6"/>
      <c r="G207" s="6"/>
      <c r="H207" s="6"/>
      <c r="I207" s="6"/>
      <c r="J207" s="6"/>
      <c r="K207" s="6"/>
      <c r="L207" s="6"/>
      <c r="M207" s="6"/>
    </row>
    <row r="208" spans="6:13" ht="12.75">
      <c r="F208" s="6"/>
      <c r="G208" s="6"/>
      <c r="H208" s="6"/>
      <c r="I208" s="6"/>
      <c r="J208" s="6"/>
      <c r="K208" s="6"/>
      <c r="L208" s="6"/>
      <c r="M208" s="6"/>
    </row>
    <row r="209" spans="6:13" ht="12.75">
      <c r="F209" s="6"/>
      <c r="G209" s="6"/>
      <c r="H209" s="6"/>
      <c r="I209" s="6"/>
      <c r="J209" s="6"/>
      <c r="K209" s="6"/>
      <c r="L209" s="6"/>
      <c r="M209" s="6"/>
    </row>
    <row r="210" spans="6:13" ht="12.75">
      <c r="F210" s="6"/>
      <c r="G210" s="6"/>
      <c r="H210" s="6"/>
      <c r="I210" s="6"/>
      <c r="J210" s="6"/>
      <c r="K210" s="6"/>
      <c r="L210" s="6"/>
      <c r="M210" s="6"/>
    </row>
    <row r="211" spans="6:13" ht="12.75">
      <c r="F211" s="6"/>
      <c r="G211" s="6"/>
      <c r="H211" s="6"/>
      <c r="I211" s="6"/>
      <c r="J211" s="6"/>
      <c r="K211" s="6"/>
      <c r="L211" s="6"/>
      <c r="M211" s="6"/>
    </row>
    <row r="212" spans="6:13" ht="12.75">
      <c r="F212" s="6"/>
      <c r="G212" s="6"/>
      <c r="H212" s="6"/>
      <c r="I212" s="6"/>
      <c r="J212" s="6"/>
      <c r="K212" s="6"/>
      <c r="L212" s="6"/>
      <c r="M212" s="6"/>
    </row>
    <row r="213" spans="6:13" ht="12.75">
      <c r="F213" s="6"/>
      <c r="G213" s="6"/>
      <c r="H213" s="6"/>
      <c r="I213" s="6"/>
      <c r="J213" s="6"/>
      <c r="K213" s="6"/>
      <c r="L213" s="6"/>
      <c r="M213" s="6"/>
    </row>
    <row r="214" spans="6:13" ht="12.75">
      <c r="F214" s="6"/>
      <c r="G214" s="6"/>
      <c r="H214" s="6"/>
      <c r="I214" s="6"/>
      <c r="J214" s="6"/>
      <c r="K214" s="6"/>
      <c r="L214" s="6"/>
      <c r="M214" s="6"/>
    </row>
    <row r="215" spans="6:13" ht="12.75">
      <c r="F215" s="6"/>
      <c r="G215" s="6"/>
      <c r="H215" s="6"/>
      <c r="I215" s="6"/>
      <c r="J215" s="6"/>
      <c r="K215" s="6"/>
      <c r="L215" s="6"/>
      <c r="M215" s="6"/>
    </row>
    <row r="216" spans="6:13" ht="12.75">
      <c r="F216" s="6"/>
      <c r="G216" s="6"/>
      <c r="H216" s="6"/>
      <c r="I216" s="6"/>
      <c r="J216" s="6"/>
      <c r="K216" s="6"/>
      <c r="L216" s="6"/>
      <c r="M216" s="6"/>
    </row>
    <row r="217" spans="6:13" ht="12.75">
      <c r="F217" s="6"/>
      <c r="G217" s="6"/>
      <c r="H217" s="6"/>
      <c r="I217" s="6"/>
      <c r="J217" s="6"/>
      <c r="K217" s="6"/>
      <c r="L217" s="6"/>
      <c r="M217" s="6"/>
    </row>
    <row r="218" spans="6:13" ht="12.75">
      <c r="F218" s="6"/>
      <c r="G218" s="6"/>
      <c r="H218" s="6"/>
      <c r="I218" s="6"/>
      <c r="J218" s="6"/>
      <c r="K218" s="6"/>
      <c r="L218" s="6"/>
      <c r="M218" s="6"/>
    </row>
    <row r="219" spans="6:13" ht="12.75">
      <c r="F219" s="6"/>
      <c r="G219" s="6"/>
      <c r="H219" s="6"/>
      <c r="I219" s="6"/>
      <c r="J219" s="6"/>
      <c r="K219" s="6"/>
      <c r="L219" s="6"/>
      <c r="M219" s="6"/>
    </row>
    <row r="220" spans="6:13" ht="12.75">
      <c r="F220" s="6"/>
      <c r="G220" s="6"/>
      <c r="H220" s="6"/>
      <c r="I220" s="6"/>
      <c r="J220" s="6"/>
      <c r="K220" s="6"/>
      <c r="L220" s="6"/>
      <c r="M220" s="6"/>
    </row>
    <row r="221" spans="6:13" ht="12.75">
      <c r="F221" s="6"/>
      <c r="G221" s="6"/>
      <c r="H221" s="6"/>
      <c r="I221" s="6"/>
      <c r="J221" s="6"/>
      <c r="K221" s="6"/>
      <c r="L221" s="6"/>
      <c r="M221" s="6"/>
    </row>
    <row r="222" spans="6:13" ht="12.75">
      <c r="F222" s="6"/>
      <c r="G222" s="6"/>
      <c r="H222" s="6"/>
      <c r="I222" s="6"/>
      <c r="J222" s="6"/>
      <c r="K222" s="6"/>
      <c r="L222" s="6"/>
      <c r="M222" s="6"/>
    </row>
    <row r="223" spans="6:13" ht="12.75">
      <c r="F223" s="6"/>
      <c r="G223" s="6"/>
      <c r="H223" s="6"/>
      <c r="I223" s="6"/>
      <c r="J223" s="6"/>
      <c r="K223" s="6"/>
      <c r="L223" s="6"/>
      <c r="M223" s="6"/>
    </row>
    <row r="224" spans="6:13" ht="12.75">
      <c r="F224" s="6"/>
      <c r="G224" s="6"/>
      <c r="H224" s="6"/>
      <c r="I224" s="6"/>
      <c r="J224" s="6"/>
      <c r="K224" s="6"/>
      <c r="L224" s="6"/>
      <c r="M224" s="6"/>
    </row>
    <row r="225" spans="6:13" ht="12.75">
      <c r="F225" s="6"/>
      <c r="G225" s="6"/>
      <c r="H225" s="6"/>
      <c r="I225" s="6"/>
      <c r="J225" s="6"/>
      <c r="K225" s="6"/>
      <c r="L225" s="6"/>
      <c r="M225" s="6"/>
    </row>
    <row r="226" spans="6:13" ht="12.75">
      <c r="F226" s="6"/>
      <c r="G226" s="6"/>
      <c r="H226" s="6"/>
      <c r="I226" s="6"/>
      <c r="J226" s="6"/>
      <c r="K226" s="6"/>
      <c r="L226" s="6"/>
      <c r="M226" s="6"/>
    </row>
    <row r="227" spans="6:13" ht="12.75">
      <c r="F227" s="6"/>
      <c r="G227" s="6"/>
      <c r="H227" s="6"/>
      <c r="I227" s="6"/>
      <c r="J227" s="6"/>
      <c r="K227" s="6"/>
      <c r="L227" s="6"/>
      <c r="M227" s="6"/>
    </row>
    <row r="228" spans="6:13" ht="12.75">
      <c r="F228" s="6"/>
      <c r="G228" s="6"/>
      <c r="H228" s="6"/>
      <c r="I228" s="6"/>
      <c r="J228" s="6"/>
      <c r="K228" s="6"/>
      <c r="L228" s="6"/>
      <c r="M228" s="6"/>
    </row>
    <row r="229" spans="6:13" ht="12.75">
      <c r="F229" s="6"/>
      <c r="G229" s="6"/>
      <c r="H229" s="6"/>
      <c r="I229" s="6"/>
      <c r="J229" s="6"/>
      <c r="K229" s="6"/>
      <c r="L229" s="6"/>
      <c r="M229" s="6"/>
    </row>
    <row r="230" spans="6:13" ht="12.75">
      <c r="F230" s="6"/>
      <c r="G230" s="6"/>
      <c r="H230" s="6"/>
      <c r="I230" s="6"/>
      <c r="J230" s="6"/>
      <c r="K230" s="6"/>
      <c r="L230" s="6"/>
      <c r="M230" s="6"/>
    </row>
    <row r="231" spans="6:13" ht="12.75">
      <c r="F231" s="6"/>
      <c r="G231" s="6"/>
      <c r="H231" s="6"/>
      <c r="I231" s="6"/>
      <c r="J231" s="6"/>
      <c r="K231" s="6"/>
      <c r="L231" s="6"/>
      <c r="M231" s="6"/>
    </row>
    <row r="232" spans="6:13" ht="12.75">
      <c r="F232" s="6"/>
      <c r="G232" s="6"/>
      <c r="H232" s="6"/>
      <c r="I232" s="6"/>
      <c r="J232" s="6"/>
      <c r="K232" s="6"/>
      <c r="L232" s="6"/>
      <c r="M232" s="6"/>
    </row>
    <row r="233" spans="6:13" ht="12.75">
      <c r="F233" s="6"/>
      <c r="G233" s="6"/>
      <c r="H233" s="6"/>
      <c r="I233" s="6"/>
      <c r="J233" s="6"/>
      <c r="K233" s="6"/>
      <c r="L233" s="6"/>
      <c r="M233" s="6"/>
    </row>
    <row r="234" spans="6:13" ht="12.75">
      <c r="F234" s="6"/>
      <c r="G234" s="6"/>
      <c r="H234" s="6"/>
      <c r="I234" s="6"/>
      <c r="J234" s="6"/>
      <c r="K234" s="6"/>
      <c r="L234" s="6"/>
      <c r="M234" s="6"/>
    </row>
    <row r="235" spans="6:13" ht="12.75">
      <c r="F235" s="6"/>
      <c r="G235" s="6"/>
      <c r="H235" s="6"/>
      <c r="I235" s="6"/>
      <c r="J235" s="6"/>
      <c r="K235" s="6"/>
      <c r="L235" s="6"/>
      <c r="M235" s="6"/>
    </row>
    <row r="236" spans="6:13" ht="12.75">
      <c r="F236" s="6"/>
      <c r="G236" s="6"/>
      <c r="H236" s="6"/>
      <c r="I236" s="6"/>
      <c r="J236" s="6"/>
      <c r="K236" s="6"/>
      <c r="L236" s="6"/>
      <c r="M236" s="6"/>
    </row>
    <row r="237" spans="6:13" ht="12.75">
      <c r="F237" s="6"/>
      <c r="G237" s="6"/>
      <c r="H237" s="6"/>
      <c r="I237" s="6"/>
      <c r="J237" s="6"/>
      <c r="K237" s="6"/>
      <c r="L237" s="6"/>
      <c r="M237" s="6"/>
    </row>
    <row r="238" spans="6:13" ht="12.75">
      <c r="F238" s="6"/>
      <c r="G238" s="6"/>
      <c r="H238" s="6"/>
      <c r="I238" s="6"/>
      <c r="J238" s="6"/>
      <c r="K238" s="6"/>
      <c r="L238" s="6"/>
      <c r="M238" s="6"/>
    </row>
    <row r="239" spans="6:13" ht="12.75">
      <c r="F239" s="6"/>
      <c r="G239" s="6"/>
      <c r="H239" s="6"/>
      <c r="I239" s="6"/>
      <c r="J239" s="6"/>
      <c r="K239" s="6"/>
      <c r="L239" s="6"/>
      <c r="M239" s="6"/>
    </row>
    <row r="240" spans="6:13" ht="12.75">
      <c r="F240" s="6"/>
      <c r="G240" s="6"/>
      <c r="H240" s="6"/>
      <c r="I240" s="6"/>
      <c r="J240" s="6"/>
      <c r="K240" s="6"/>
      <c r="L240" s="6"/>
      <c r="M240" s="6"/>
    </row>
    <row r="241" spans="6:13" ht="12.75">
      <c r="F241" s="6"/>
      <c r="G241" s="6"/>
      <c r="H241" s="6"/>
      <c r="I241" s="6"/>
      <c r="J241" s="6"/>
      <c r="K241" s="6"/>
      <c r="L241" s="6"/>
      <c r="M241" s="6"/>
    </row>
    <row r="242" spans="6:13" ht="12.75">
      <c r="F242" s="6"/>
      <c r="G242" s="6"/>
      <c r="H242" s="6"/>
      <c r="I242" s="6"/>
      <c r="J242" s="6"/>
      <c r="K242" s="6"/>
      <c r="L242" s="6"/>
      <c r="M242" s="6"/>
    </row>
    <row r="243" spans="6:13" ht="12.75">
      <c r="F243" s="6"/>
      <c r="G243" s="6"/>
      <c r="H243" s="6"/>
      <c r="I243" s="6"/>
      <c r="J243" s="6"/>
      <c r="K243" s="6"/>
      <c r="L243" s="6"/>
      <c r="M243" s="6"/>
    </row>
    <row r="244" spans="6:13" ht="12.75">
      <c r="F244" s="6"/>
      <c r="G244" s="6"/>
      <c r="H244" s="6"/>
      <c r="I244" s="6"/>
      <c r="J244" s="6"/>
      <c r="K244" s="6"/>
      <c r="L244" s="6"/>
      <c r="M244" s="6"/>
    </row>
    <row r="245" spans="6:13" ht="12.75">
      <c r="F245" s="6"/>
      <c r="G245" s="6"/>
      <c r="H245" s="6"/>
      <c r="I245" s="6"/>
      <c r="J245" s="6"/>
      <c r="K245" s="6"/>
      <c r="L245" s="6"/>
      <c r="M245" s="6"/>
    </row>
    <row r="246" spans="6:13" ht="12.75">
      <c r="F246" s="6"/>
      <c r="G246" s="6"/>
      <c r="H246" s="6"/>
      <c r="I246" s="6"/>
      <c r="J246" s="6"/>
      <c r="K246" s="6"/>
      <c r="L246" s="6"/>
      <c r="M246" s="6"/>
    </row>
    <row r="247" spans="6:13" ht="12.75">
      <c r="F247" s="6"/>
      <c r="G247" s="6"/>
      <c r="H247" s="6"/>
      <c r="I247" s="6"/>
      <c r="J247" s="6"/>
      <c r="K247" s="6"/>
      <c r="L247" s="6"/>
      <c r="M247" s="6"/>
    </row>
    <row r="248" spans="6:13" ht="12.75">
      <c r="F248" s="6"/>
      <c r="G248" s="6"/>
      <c r="H248" s="6"/>
      <c r="I248" s="6"/>
      <c r="J248" s="6"/>
      <c r="K248" s="6"/>
      <c r="L248" s="6"/>
      <c r="M248" s="6"/>
    </row>
    <row r="249" spans="6:13" ht="12.75">
      <c r="F249" s="6"/>
      <c r="G249" s="6"/>
      <c r="H249" s="6"/>
      <c r="I249" s="6"/>
      <c r="J249" s="6"/>
      <c r="K249" s="6"/>
      <c r="L249" s="6"/>
      <c r="M249" s="6"/>
    </row>
    <row r="250" spans="6:13" ht="12.75">
      <c r="F250" s="6"/>
      <c r="G250" s="6"/>
      <c r="H250" s="6"/>
      <c r="I250" s="6"/>
      <c r="J250" s="6"/>
      <c r="K250" s="6"/>
      <c r="L250" s="6"/>
      <c r="M250" s="6"/>
    </row>
    <row r="251" spans="6:13" ht="12.75">
      <c r="F251" s="6"/>
      <c r="G251" s="6"/>
      <c r="H251" s="6"/>
      <c r="I251" s="6"/>
      <c r="J251" s="6"/>
      <c r="K251" s="6"/>
      <c r="L251" s="6"/>
      <c r="M251" s="6"/>
    </row>
    <row r="252" spans="6:13" ht="12.75">
      <c r="F252" s="6"/>
      <c r="G252" s="6"/>
      <c r="H252" s="6"/>
      <c r="I252" s="6"/>
      <c r="J252" s="6"/>
      <c r="K252" s="6"/>
      <c r="L252" s="6"/>
      <c r="M252" s="6"/>
    </row>
    <row r="253" spans="6:13" ht="12.75">
      <c r="F253" s="6"/>
      <c r="G253" s="6"/>
      <c r="H253" s="6"/>
      <c r="I253" s="6"/>
      <c r="J253" s="6"/>
      <c r="K253" s="6"/>
      <c r="L253" s="6"/>
      <c r="M253" s="6"/>
    </row>
    <row r="254" spans="6:13" ht="12.75">
      <c r="F254" s="6"/>
      <c r="G254" s="6"/>
      <c r="H254" s="6"/>
      <c r="I254" s="6"/>
      <c r="J254" s="6"/>
      <c r="K254" s="6"/>
      <c r="L254" s="6"/>
      <c r="M254" s="6"/>
    </row>
    <row r="255" spans="6:13" ht="12.75">
      <c r="F255" s="6"/>
      <c r="G255" s="6"/>
      <c r="H255" s="6"/>
      <c r="I255" s="6"/>
      <c r="J255" s="6"/>
      <c r="K255" s="6"/>
      <c r="L255" s="6"/>
      <c r="M255" s="6"/>
    </row>
    <row r="256" spans="6:13" ht="12.75">
      <c r="F256" s="6"/>
      <c r="G256" s="6"/>
      <c r="H256" s="6"/>
      <c r="I256" s="6"/>
      <c r="J256" s="6"/>
      <c r="K256" s="6"/>
      <c r="L256" s="6"/>
      <c r="M256" s="6"/>
    </row>
    <row r="257" spans="6:13" ht="12.75">
      <c r="F257" s="6"/>
      <c r="G257" s="6"/>
      <c r="H257" s="6"/>
      <c r="I257" s="6"/>
      <c r="J257" s="6"/>
      <c r="K257" s="6"/>
      <c r="L257" s="6"/>
      <c r="M257" s="6"/>
    </row>
    <row r="258" spans="6:13" ht="12.75">
      <c r="F258" s="6"/>
      <c r="G258" s="6"/>
      <c r="H258" s="6"/>
      <c r="I258" s="6"/>
      <c r="J258" s="6"/>
      <c r="K258" s="6"/>
      <c r="L258" s="6"/>
      <c r="M258" s="6"/>
    </row>
    <row r="259" spans="6:13" ht="12.75">
      <c r="F259" s="6"/>
      <c r="G259" s="6"/>
      <c r="H259" s="6"/>
      <c r="I259" s="6"/>
      <c r="J259" s="6"/>
      <c r="K259" s="6"/>
      <c r="L259" s="6"/>
      <c r="M259" s="6"/>
    </row>
    <row r="260" spans="6:13" ht="12.75">
      <c r="F260" s="6"/>
      <c r="G260" s="6"/>
      <c r="H260" s="6"/>
      <c r="I260" s="6"/>
      <c r="J260" s="6"/>
      <c r="K260" s="6"/>
      <c r="L260" s="6"/>
      <c r="M260" s="6"/>
    </row>
    <row r="261" spans="6:13" ht="12.75">
      <c r="F261" s="6"/>
      <c r="G261" s="6"/>
      <c r="H261" s="6"/>
      <c r="I261" s="6"/>
      <c r="J261" s="6"/>
      <c r="K261" s="6"/>
      <c r="L261" s="6"/>
      <c r="M261" s="6"/>
    </row>
    <row r="262" spans="6:13" ht="12.75">
      <c r="F262" s="6"/>
      <c r="G262" s="6"/>
      <c r="H262" s="6"/>
      <c r="I262" s="6"/>
      <c r="J262" s="6"/>
      <c r="K262" s="6"/>
      <c r="L262" s="6"/>
      <c r="M262" s="6"/>
    </row>
    <row r="263" spans="6:13" ht="12.75">
      <c r="F263" s="6"/>
      <c r="G263" s="6"/>
      <c r="H263" s="6"/>
      <c r="I263" s="6"/>
      <c r="J263" s="6"/>
      <c r="K263" s="6"/>
      <c r="L263" s="6"/>
      <c r="M263" s="6"/>
    </row>
    <row r="264" spans="6:13" ht="12.75">
      <c r="F264" s="6"/>
      <c r="G264" s="6"/>
      <c r="H264" s="6"/>
      <c r="I264" s="6"/>
      <c r="J264" s="6"/>
      <c r="K264" s="6"/>
      <c r="L264" s="6"/>
      <c r="M264" s="6"/>
    </row>
    <row r="265" spans="6:13" ht="12.75">
      <c r="F265" s="6"/>
      <c r="G265" s="6"/>
      <c r="H265" s="6"/>
      <c r="I265" s="6"/>
      <c r="J265" s="6"/>
      <c r="K265" s="6"/>
      <c r="L265" s="6"/>
      <c r="M265" s="6"/>
    </row>
    <row r="266" spans="6:13" ht="12.75">
      <c r="F266" s="6"/>
      <c r="G266" s="6"/>
      <c r="H266" s="6"/>
      <c r="I266" s="6"/>
      <c r="J266" s="6"/>
      <c r="K266" s="6"/>
      <c r="L266" s="6"/>
      <c r="M266" s="6"/>
    </row>
    <row r="267" spans="6:13" ht="12.75">
      <c r="F267" s="6"/>
      <c r="G267" s="6"/>
      <c r="H267" s="6"/>
      <c r="I267" s="6"/>
      <c r="J267" s="6"/>
      <c r="K267" s="6"/>
      <c r="L267" s="6"/>
      <c r="M267" s="6"/>
    </row>
    <row r="268" spans="6:13" ht="12.75">
      <c r="F268" s="6"/>
      <c r="G268" s="6"/>
      <c r="H268" s="6"/>
      <c r="I268" s="6"/>
      <c r="J268" s="6"/>
      <c r="K268" s="6"/>
      <c r="L268" s="6"/>
      <c r="M268" s="6"/>
    </row>
    <row r="269" spans="6:13" ht="12.75">
      <c r="F269" s="6"/>
      <c r="G269" s="6"/>
      <c r="H269" s="6"/>
      <c r="I269" s="6"/>
      <c r="J269" s="6"/>
      <c r="K269" s="6"/>
      <c r="L269" s="6"/>
      <c r="M269" s="6"/>
    </row>
    <row r="270" spans="6:13" ht="12.75">
      <c r="F270" s="6"/>
      <c r="G270" s="6"/>
      <c r="H270" s="6"/>
      <c r="I270" s="6"/>
      <c r="J270" s="6"/>
      <c r="K270" s="6"/>
      <c r="L270" s="6"/>
      <c r="M270" s="6"/>
    </row>
    <row r="271" spans="6:13" ht="12.75">
      <c r="F271" s="6"/>
      <c r="G271" s="6"/>
      <c r="H271" s="6"/>
      <c r="I271" s="6"/>
      <c r="J271" s="6"/>
      <c r="K271" s="6"/>
      <c r="L271" s="6"/>
      <c r="M271" s="6"/>
    </row>
    <row r="272" spans="6:13" ht="12.75">
      <c r="F272" s="6"/>
      <c r="G272" s="6"/>
      <c r="H272" s="6"/>
      <c r="I272" s="6"/>
      <c r="J272" s="6"/>
      <c r="K272" s="6"/>
      <c r="L272" s="6"/>
      <c r="M272" s="6"/>
    </row>
    <row r="273" spans="6:13" ht="12.75">
      <c r="F273" s="6"/>
      <c r="G273" s="6"/>
      <c r="H273" s="6"/>
      <c r="I273" s="6"/>
      <c r="J273" s="6"/>
      <c r="K273" s="6"/>
      <c r="L273" s="6"/>
      <c r="M273" s="6"/>
    </row>
    <row r="274" spans="6:13" ht="12.75">
      <c r="F274" s="6"/>
      <c r="G274" s="6"/>
      <c r="H274" s="6"/>
      <c r="I274" s="6"/>
      <c r="J274" s="6"/>
      <c r="K274" s="6"/>
      <c r="L274" s="6"/>
      <c r="M274" s="6"/>
    </row>
    <row r="275" spans="6:13" ht="12.75">
      <c r="F275" s="6"/>
      <c r="G275" s="6"/>
      <c r="H275" s="6"/>
      <c r="I275" s="6"/>
      <c r="J275" s="6"/>
      <c r="K275" s="6"/>
      <c r="L275" s="6"/>
      <c r="M275" s="6"/>
    </row>
    <row r="276" spans="6:13" ht="12.75">
      <c r="F276" s="6"/>
      <c r="G276" s="6"/>
      <c r="H276" s="6"/>
      <c r="I276" s="6"/>
      <c r="J276" s="6"/>
      <c r="K276" s="6"/>
      <c r="L276" s="6"/>
      <c r="M276" s="6"/>
    </row>
    <row r="277" spans="6:13" ht="12.75">
      <c r="F277" s="6"/>
      <c r="G277" s="6"/>
      <c r="H277" s="6"/>
      <c r="I277" s="6"/>
      <c r="J277" s="6"/>
      <c r="K277" s="6"/>
      <c r="L277" s="6"/>
      <c r="M277" s="6"/>
    </row>
    <row r="278" spans="6:13" ht="12.75">
      <c r="F278" s="6"/>
      <c r="G278" s="6"/>
      <c r="H278" s="6"/>
      <c r="I278" s="6"/>
      <c r="J278" s="6"/>
      <c r="K278" s="6"/>
      <c r="L278" s="6"/>
      <c r="M278" s="6"/>
    </row>
    <row r="279" spans="6:13" ht="12.75">
      <c r="F279" s="6"/>
      <c r="G279" s="6"/>
      <c r="H279" s="6"/>
      <c r="I279" s="6"/>
      <c r="J279" s="6"/>
      <c r="K279" s="6"/>
      <c r="L279" s="6"/>
      <c r="M279" s="6"/>
    </row>
    <row r="280" spans="6:13" ht="12.75">
      <c r="F280" s="6"/>
      <c r="G280" s="6"/>
      <c r="H280" s="6"/>
      <c r="I280" s="6"/>
      <c r="J280" s="6"/>
      <c r="K280" s="6"/>
      <c r="L280" s="6"/>
      <c r="M280" s="6"/>
    </row>
    <row r="281" spans="6:13" ht="12.75">
      <c r="F281" s="6"/>
      <c r="G281" s="6"/>
      <c r="H281" s="6"/>
      <c r="I281" s="6"/>
      <c r="J281" s="6"/>
      <c r="K281" s="6"/>
      <c r="L281" s="6"/>
      <c r="M281" s="6"/>
    </row>
    <row r="282" spans="6:13" ht="12.75">
      <c r="F282" s="6"/>
      <c r="G282" s="6"/>
      <c r="H282" s="6"/>
      <c r="I282" s="6"/>
      <c r="J282" s="6"/>
      <c r="K282" s="6"/>
      <c r="L282" s="6"/>
      <c r="M282" s="6"/>
    </row>
    <row r="283" spans="6:13" ht="12.75">
      <c r="F283" s="6"/>
      <c r="G283" s="6"/>
      <c r="H283" s="6"/>
      <c r="I283" s="6"/>
      <c r="J283" s="6"/>
      <c r="K283" s="6"/>
      <c r="L283" s="6"/>
      <c r="M283" s="6"/>
    </row>
    <row r="284" spans="6:13" ht="12.75">
      <c r="F284" s="6"/>
      <c r="G284" s="6"/>
      <c r="H284" s="6"/>
      <c r="I284" s="6"/>
      <c r="J284" s="6"/>
      <c r="K284" s="6"/>
      <c r="L284" s="6"/>
      <c r="M284" s="6"/>
    </row>
    <row r="285" spans="6:13" ht="12.75">
      <c r="F285" s="6"/>
      <c r="G285" s="6"/>
      <c r="H285" s="6"/>
      <c r="I285" s="6"/>
      <c r="J285" s="6"/>
      <c r="K285" s="6"/>
      <c r="L285" s="6"/>
      <c r="M285" s="6"/>
    </row>
    <row r="286" spans="6:13" ht="12.75">
      <c r="F286" s="6"/>
      <c r="G286" s="6"/>
      <c r="H286" s="6"/>
      <c r="I286" s="6"/>
      <c r="J286" s="6"/>
      <c r="K286" s="6"/>
      <c r="L286" s="6"/>
      <c r="M286" s="6"/>
    </row>
    <row r="287" spans="6:13" ht="12.75">
      <c r="F287" s="6"/>
      <c r="G287" s="6"/>
      <c r="H287" s="6"/>
      <c r="I287" s="6"/>
      <c r="J287" s="6"/>
      <c r="K287" s="6"/>
      <c r="L287" s="6"/>
      <c r="M287" s="6"/>
    </row>
    <row r="288" spans="6:13" ht="12.75">
      <c r="F288" s="6"/>
      <c r="G288" s="6"/>
      <c r="H288" s="6"/>
      <c r="I288" s="6"/>
      <c r="J288" s="6"/>
      <c r="K288" s="6"/>
      <c r="L288" s="6"/>
      <c r="M288" s="6"/>
    </row>
    <row r="289" spans="6:13" ht="12.75">
      <c r="F289" s="6"/>
      <c r="G289" s="6"/>
      <c r="H289" s="6"/>
      <c r="I289" s="6"/>
      <c r="J289" s="6"/>
      <c r="K289" s="6"/>
      <c r="L289" s="6"/>
      <c r="M289" s="6"/>
    </row>
    <row r="290" spans="6:13" ht="12.75">
      <c r="F290" s="6"/>
      <c r="G290" s="6"/>
      <c r="H290" s="6"/>
      <c r="I290" s="6"/>
      <c r="J290" s="6"/>
      <c r="K290" s="6"/>
      <c r="L290" s="6"/>
      <c r="M290" s="6"/>
    </row>
    <row r="291" spans="6:13" ht="12.75">
      <c r="F291" s="6"/>
      <c r="G291" s="6"/>
      <c r="H291" s="6"/>
      <c r="I291" s="6"/>
      <c r="J291" s="6"/>
      <c r="K291" s="6"/>
      <c r="L291" s="6"/>
      <c r="M291" s="6"/>
    </row>
    <row r="292" spans="6:13" ht="12.75">
      <c r="F292" s="6"/>
      <c r="G292" s="6"/>
      <c r="H292" s="6"/>
      <c r="I292" s="6"/>
      <c r="J292" s="6"/>
      <c r="K292" s="6"/>
      <c r="L292" s="6"/>
      <c r="M292" s="6"/>
    </row>
    <row r="293" spans="6:13" ht="12.75">
      <c r="F293" s="6"/>
      <c r="G293" s="6"/>
      <c r="H293" s="6"/>
      <c r="I293" s="6"/>
      <c r="J293" s="6"/>
      <c r="K293" s="6"/>
      <c r="L293" s="6"/>
      <c r="M293" s="6"/>
    </row>
    <row r="294" spans="6:13" ht="12.75">
      <c r="F294" s="6"/>
      <c r="G294" s="6"/>
      <c r="H294" s="6"/>
      <c r="I294" s="6"/>
      <c r="J294" s="6"/>
      <c r="K294" s="6"/>
      <c r="L294" s="6"/>
      <c r="M294" s="6"/>
    </row>
    <row r="295" spans="6:13" ht="12.75">
      <c r="F295" s="6"/>
      <c r="G295" s="6"/>
      <c r="H295" s="6"/>
      <c r="I295" s="6"/>
      <c r="J295" s="6"/>
      <c r="K295" s="6"/>
      <c r="L295" s="6"/>
      <c r="M295" s="6"/>
    </row>
    <row r="296" spans="6:13" ht="12.75">
      <c r="F296" s="6"/>
      <c r="G296" s="6"/>
      <c r="H296" s="6"/>
      <c r="I296" s="6"/>
      <c r="J296" s="6"/>
      <c r="K296" s="6"/>
      <c r="L296" s="6"/>
      <c r="M296" s="6"/>
    </row>
    <row r="297" spans="6:13" ht="12.75">
      <c r="F297" s="6"/>
      <c r="G297" s="6"/>
      <c r="H297" s="6"/>
      <c r="I297" s="6"/>
      <c r="J297" s="6"/>
      <c r="K297" s="6"/>
      <c r="L297" s="6"/>
      <c r="M297" s="6"/>
    </row>
    <row r="298" spans="6:13" ht="12.75">
      <c r="F298" s="6"/>
      <c r="G298" s="6"/>
      <c r="H298" s="6"/>
      <c r="I298" s="6"/>
      <c r="J298" s="6"/>
      <c r="K298" s="6"/>
      <c r="L298" s="6"/>
      <c r="M298" s="6"/>
    </row>
  </sheetData>
  <sheetProtection/>
  <mergeCells count="52">
    <mergeCell ref="C28:C37"/>
    <mergeCell ref="C39:C48"/>
    <mergeCell ref="B6:B15"/>
    <mergeCell ref="B17:B26"/>
    <mergeCell ref="B28:B37"/>
    <mergeCell ref="B39:B48"/>
    <mergeCell ref="C3:C5"/>
    <mergeCell ref="F99:F100"/>
    <mergeCell ref="D98:D100"/>
    <mergeCell ref="B50:B59"/>
    <mergeCell ref="C50:C59"/>
    <mergeCell ref="B61:B70"/>
    <mergeCell ref="C61:C70"/>
    <mergeCell ref="F4:F5"/>
    <mergeCell ref="C6:C15"/>
    <mergeCell ref="C17:C26"/>
    <mergeCell ref="A61:A70"/>
    <mergeCell ref="A1:J1"/>
    <mergeCell ref="A3:A5"/>
    <mergeCell ref="A6:A15"/>
    <mergeCell ref="A17:A26"/>
    <mergeCell ref="A28:A37"/>
    <mergeCell ref="A39:A48"/>
    <mergeCell ref="A50:A59"/>
    <mergeCell ref="B3:B5"/>
    <mergeCell ref="D3:D5"/>
    <mergeCell ref="A72:A81"/>
    <mergeCell ref="B72:B81"/>
    <mergeCell ref="C72:C81"/>
    <mergeCell ref="A83:A92"/>
    <mergeCell ref="B83:B92"/>
    <mergeCell ref="C83:C92"/>
    <mergeCell ref="G4:G5"/>
    <mergeCell ref="H4:H5"/>
    <mergeCell ref="J3:J5"/>
    <mergeCell ref="I4:I5"/>
    <mergeCell ref="F3:I3"/>
    <mergeCell ref="E3:E5"/>
    <mergeCell ref="J98:J100"/>
    <mergeCell ref="E98:E100"/>
    <mergeCell ref="D114:D116"/>
    <mergeCell ref="E114:E116"/>
    <mergeCell ref="F114:I114"/>
    <mergeCell ref="J114:J116"/>
    <mergeCell ref="F115:F116"/>
    <mergeCell ref="G99:G100"/>
    <mergeCell ref="G115:G116"/>
    <mergeCell ref="H115:H116"/>
    <mergeCell ref="I115:I116"/>
    <mergeCell ref="H99:H100"/>
    <mergeCell ref="I99:I100"/>
    <mergeCell ref="F98:I98"/>
  </mergeCells>
  <printOptions/>
  <pageMargins left="0" right="0" top="0.3937007874015748" bottom="0.3937007874015748" header="0.31496062992125984" footer="0.31496062992125984"/>
  <pageSetup orientation="portrait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37.28125" style="0" customWidth="1"/>
    <col min="2" max="2" width="17.7109375" style="0" customWidth="1"/>
    <col min="3" max="3" width="18.28125" style="0" customWidth="1"/>
    <col min="4" max="4" width="18.7109375" style="0" customWidth="1"/>
    <col min="5" max="5" width="19.00390625" style="0" customWidth="1"/>
    <col min="6" max="6" width="19.28125" style="0" customWidth="1"/>
    <col min="7" max="7" width="14.28125" style="0" customWidth="1"/>
  </cols>
  <sheetData>
    <row r="1" spans="1:7" ht="12.75">
      <c r="A1" s="546" t="s">
        <v>376</v>
      </c>
      <c r="B1" s="546"/>
      <c r="C1" s="546"/>
      <c r="D1" s="546"/>
      <c r="E1" s="546"/>
      <c r="F1" s="546"/>
      <c r="G1" s="546"/>
    </row>
    <row r="2" spans="1:2" ht="12.75">
      <c r="A2" s="1" t="s">
        <v>378</v>
      </c>
      <c r="B2" s="371">
        <v>0.058</v>
      </c>
    </row>
    <row r="3" spans="1:7" ht="12.75">
      <c r="A3" s="87" t="s">
        <v>377</v>
      </c>
      <c r="B3" s="18">
        <v>2012</v>
      </c>
      <c r="C3" s="18">
        <v>2013</v>
      </c>
      <c r="D3" s="18">
        <v>2014</v>
      </c>
      <c r="E3" s="18">
        <v>2015</v>
      </c>
      <c r="F3" s="380">
        <v>2016</v>
      </c>
      <c r="G3" s="19"/>
    </row>
    <row r="4" spans="1:7" ht="12.75">
      <c r="A4" s="87" t="s">
        <v>381</v>
      </c>
      <c r="B4" s="10">
        <v>566700</v>
      </c>
      <c r="C4" s="10">
        <f>B4*(1+$B$2)</f>
        <v>599568.6</v>
      </c>
      <c r="D4" s="10">
        <f>C4*(1+$B$2)</f>
        <v>634343.5788</v>
      </c>
      <c r="E4" s="10">
        <f>D4*(1+$B$2)</f>
        <v>671135.5063704001</v>
      </c>
      <c r="F4" s="381">
        <f>E4*(1+$B$2)</f>
        <v>710061.3657398833</v>
      </c>
      <c r="G4" s="305"/>
    </row>
    <row r="5" spans="1:7" ht="12.75">
      <c r="A5" s="87" t="s">
        <v>379</v>
      </c>
      <c r="B5" s="18">
        <v>1400</v>
      </c>
      <c r="G5" s="19"/>
    </row>
    <row r="6" spans="1:2" ht="12.75">
      <c r="A6" s="87" t="s">
        <v>380</v>
      </c>
      <c r="B6" s="18">
        <v>600</v>
      </c>
    </row>
    <row r="8" spans="1:6" ht="25.5" customHeight="1">
      <c r="A8" s="545" t="s">
        <v>373</v>
      </c>
      <c r="B8" s="545"/>
      <c r="C8" s="545"/>
      <c r="D8" s="545"/>
      <c r="E8" s="545"/>
      <c r="F8" s="545"/>
    </row>
    <row r="9" spans="1:6" ht="19.5" customHeight="1">
      <c r="A9" s="547" t="s">
        <v>243</v>
      </c>
      <c r="B9" s="375" t="s">
        <v>266</v>
      </c>
      <c r="C9" s="375" t="s">
        <v>267</v>
      </c>
      <c r="D9" s="375" t="s">
        <v>268</v>
      </c>
      <c r="E9" s="375" t="s">
        <v>269</v>
      </c>
      <c r="F9" s="375" t="s">
        <v>374</v>
      </c>
    </row>
    <row r="10" spans="1:6" ht="19.5" customHeight="1">
      <c r="A10" s="548"/>
      <c r="B10" s="372">
        <v>2012</v>
      </c>
      <c r="C10" s="372">
        <v>2013</v>
      </c>
      <c r="D10" s="372">
        <v>2014</v>
      </c>
      <c r="E10" s="372">
        <v>2015</v>
      </c>
      <c r="F10" s="372">
        <v>2016</v>
      </c>
    </row>
    <row r="11" spans="1:8" ht="19.5" customHeight="1">
      <c r="A11" s="378" t="s">
        <v>375</v>
      </c>
      <c r="B11" s="379"/>
      <c r="C11" s="379"/>
      <c r="D11" s="379"/>
      <c r="E11" s="379">
        <f>$B$5*E4*12</f>
        <v>11275076507.022722</v>
      </c>
      <c r="F11" s="379">
        <f>$B$5*F4*12</f>
        <v>11929030944.430038</v>
      </c>
      <c r="G11" s="6"/>
      <c r="H11" s="6"/>
    </row>
    <row r="12" spans="1:8" ht="19.5" customHeight="1">
      <c r="A12" s="378" t="s">
        <v>385</v>
      </c>
      <c r="B12" s="379"/>
      <c r="C12" s="379"/>
      <c r="D12" s="379"/>
      <c r="E12" s="379"/>
      <c r="F12" s="379">
        <f>$B$6*F4*12*2</f>
        <v>10224883666.65432</v>
      </c>
      <c r="G12" s="6"/>
      <c r="H12" s="6"/>
    </row>
    <row r="13" spans="1:8" ht="19.5" customHeight="1">
      <c r="A13" s="378" t="s">
        <v>382</v>
      </c>
      <c r="B13" s="379">
        <f>Hoja2!F110*-1</f>
        <v>-4249075363.6</v>
      </c>
      <c r="C13" s="379">
        <f>Hoja2!G110*-1</f>
        <v>-3328271097.6969643</v>
      </c>
      <c r="D13" s="379">
        <f>Hoja2!H110*-1</f>
        <v>-3773155152.8833885</v>
      </c>
      <c r="E13" s="379">
        <f>Hoja2!I110*-1</f>
        <v>-2453876088.6286206</v>
      </c>
      <c r="F13" s="379"/>
      <c r="G13" s="6"/>
      <c r="H13" s="6"/>
    </row>
    <row r="14" spans="1:8" ht="19.5" customHeight="1">
      <c r="A14" s="373" t="s">
        <v>383</v>
      </c>
      <c r="B14" s="374">
        <f>B11+B12+B13</f>
        <v>-4249075363.6</v>
      </c>
      <c r="C14" s="374">
        <f>C11+C12+C13</f>
        <v>-3328271097.6969643</v>
      </c>
      <c r="D14" s="374">
        <f>D11+D12+D13</f>
        <v>-3773155152.8833885</v>
      </c>
      <c r="E14" s="374">
        <f>E11+E12+E13</f>
        <v>8821200418.394102</v>
      </c>
      <c r="F14" s="374">
        <f>F11+F12+F13</f>
        <v>22153914611.08436</v>
      </c>
      <c r="G14" s="6"/>
      <c r="H14" s="6"/>
    </row>
    <row r="15" spans="2:8" ht="12.75">
      <c r="B15" s="6"/>
      <c r="C15" s="6"/>
      <c r="D15" s="6"/>
      <c r="E15" s="6"/>
      <c r="F15" s="6"/>
      <c r="G15" s="6"/>
      <c r="H15" s="6"/>
    </row>
    <row r="16" spans="2:8" ht="15">
      <c r="B16" s="376" t="s">
        <v>384</v>
      </c>
      <c r="C16" s="377">
        <f>IRR(B14:F14)</f>
        <v>0.42374677539958805</v>
      </c>
      <c r="D16" s="6"/>
      <c r="E16" s="6"/>
      <c r="F16" s="6"/>
      <c r="G16" s="6"/>
      <c r="H16" s="6"/>
    </row>
    <row r="17" spans="2:8" ht="12.75">
      <c r="B17" s="6"/>
      <c r="C17" s="6"/>
      <c r="D17" s="6"/>
      <c r="E17" s="6"/>
      <c r="F17" s="6"/>
      <c r="G17" s="6"/>
      <c r="H17" s="6"/>
    </row>
    <row r="18" spans="2:8" ht="12.75">
      <c r="B18" s="6"/>
      <c r="C18" s="6"/>
      <c r="D18" s="6"/>
      <c r="E18" s="6"/>
      <c r="F18" s="6"/>
      <c r="G18" s="6"/>
      <c r="H18" s="6"/>
    </row>
    <row r="19" spans="2:8" ht="12.75">
      <c r="B19" s="6"/>
      <c r="C19" s="6"/>
      <c r="D19" s="6"/>
      <c r="E19" s="6"/>
      <c r="F19" s="6"/>
      <c r="G19" s="6"/>
      <c r="H19" s="6"/>
    </row>
    <row r="20" spans="2:8" ht="12.75">
      <c r="B20" s="6"/>
      <c r="C20" s="6"/>
      <c r="D20" s="6"/>
      <c r="E20" s="6"/>
      <c r="F20" s="6"/>
      <c r="G20" s="6"/>
      <c r="H20" s="6"/>
    </row>
    <row r="21" spans="2:8" ht="12.75">
      <c r="B21" s="6"/>
      <c r="C21" s="6"/>
      <c r="D21" s="6"/>
      <c r="E21" s="6"/>
      <c r="F21" s="6"/>
      <c r="G21" s="6"/>
      <c r="H21" s="6"/>
    </row>
    <row r="22" spans="2:8" ht="12.75">
      <c r="B22" s="6"/>
      <c r="C22" s="6"/>
      <c r="D22" s="6"/>
      <c r="E22" s="6"/>
      <c r="F22" s="6"/>
      <c r="G22" s="6"/>
      <c r="H22" s="6"/>
    </row>
    <row r="23" spans="2:8" ht="12.75">
      <c r="B23" s="6"/>
      <c r="C23" s="6"/>
      <c r="D23" s="6"/>
      <c r="E23" s="6"/>
      <c r="F23" s="6"/>
      <c r="G23" s="6"/>
      <c r="H23" s="6"/>
    </row>
  </sheetData>
  <sheetProtection/>
  <mergeCells count="3">
    <mergeCell ref="A8:F8"/>
    <mergeCell ref="A1:G1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Youth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Dottyb</dc:creator>
  <cp:keywords/>
  <dc:description/>
  <cp:lastModifiedBy>Martha lucia</cp:lastModifiedBy>
  <cp:lastPrinted>2012-10-01T15:18:53Z</cp:lastPrinted>
  <dcterms:created xsi:type="dcterms:W3CDTF">2002-10-29T12:27:34Z</dcterms:created>
  <dcterms:modified xsi:type="dcterms:W3CDTF">2013-08-30T16:27:07Z</dcterms:modified>
  <cp:category/>
  <cp:version/>
  <cp:contentType/>
  <cp:contentStatus/>
</cp:coreProperties>
</file>